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19  CERMOFUL - Michelle\Estrutura\"/>
    </mc:Choice>
  </mc:AlternateContent>
  <xr:revisionPtr revIDLastSave="0" documentId="13_ncr:1_{8F911F24-B59F-4193-97B6-1BB4237AC454}" xr6:coauthVersionLast="47" xr6:coauthVersionMax="47" xr10:uidLastSave="{00000000-0000-0000-0000-000000000000}"/>
  <bookViews>
    <workbookView xWindow="-120" yWindow="-120" windowWidth="20730" windowHeight="11160" tabRatio="871" firstSheet="19" activeTab="29" xr2:uid="{8EBFDCF1-7557-4315-A8AF-75202EE952A2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R6" i="21"/>
  <c r="X6" i="21" s="1"/>
  <c r="AF6" i="21" s="1"/>
  <c r="AE5" i="21"/>
  <c r="AD5" i="21"/>
  <c r="AC5" i="21"/>
  <c r="AB5" i="21"/>
  <c r="AA5" i="21"/>
  <c r="W5" i="21"/>
  <c r="V5" i="21"/>
  <c r="Y5" i="21" s="1"/>
  <c r="AG5" i="21" s="1"/>
  <c r="U5" i="21"/>
  <c r="T5" i="21"/>
  <c r="S5" i="21"/>
  <c r="R5" i="21"/>
  <c r="X5" i="21" s="1"/>
  <c r="AF5" i="21" s="1"/>
  <c r="AE4" i="21"/>
  <c r="AD4" i="21"/>
  <c r="AC4" i="21"/>
  <c r="AB4" i="21"/>
  <c r="AA4" i="21"/>
  <c r="W4" i="21"/>
  <c r="V4" i="21"/>
  <c r="Y4" i="21" s="1"/>
  <c r="AG4" i="21" s="1"/>
  <c r="U4" i="21"/>
  <c r="T4" i="21"/>
  <c r="S4" i="21"/>
  <c r="R4" i="21"/>
  <c r="X4" i="21" s="1"/>
  <c r="AF4" i="21" s="1"/>
  <c r="AE3" i="21"/>
  <c r="AD3" i="21"/>
  <c r="AC3" i="21"/>
  <c r="AB3" i="21"/>
  <c r="AA3" i="21"/>
  <c r="W3" i="21"/>
  <c r="V3" i="21"/>
  <c r="U3" i="21"/>
  <c r="T3" i="21"/>
  <c r="S3" i="21"/>
  <c r="R3" i="21"/>
  <c r="J536" i="21"/>
  <c r="J535" i="21"/>
  <c r="M535" i="21" s="1"/>
  <c r="J534" i="21"/>
  <c r="M534" i="21" s="1"/>
  <c r="J533" i="21"/>
  <c r="M533" i="21" s="1"/>
  <c r="J532" i="21"/>
  <c r="J531" i="21"/>
  <c r="J530" i="21"/>
  <c r="M530" i="21" s="1"/>
  <c r="J529" i="21"/>
  <c r="M529" i="21" s="1"/>
  <c r="J528" i="21"/>
  <c r="J527" i="21"/>
  <c r="J526" i="21"/>
  <c r="M526" i="21" s="1"/>
  <c r="J525" i="21"/>
  <c r="J226" i="21"/>
  <c r="J225" i="21"/>
  <c r="J224" i="21"/>
  <c r="J223" i="21"/>
  <c r="J222" i="21"/>
  <c r="J221" i="21"/>
  <c r="J220" i="21"/>
  <c r="J219" i="21"/>
  <c r="J218" i="21"/>
  <c r="J217" i="21"/>
  <c r="L216" i="21"/>
  <c r="K216" i="21"/>
  <c r="L215" i="21"/>
  <c r="K215" i="21"/>
  <c r="L214" i="21"/>
  <c r="K214" i="21"/>
  <c r="L213" i="21"/>
  <c r="K213" i="21"/>
  <c r="L212" i="21"/>
  <c r="K212" i="21"/>
  <c r="L211" i="21"/>
  <c r="K211" i="21"/>
  <c r="L210" i="21"/>
  <c r="K210" i="21"/>
  <c r="L209" i="21"/>
  <c r="K209" i="21"/>
  <c r="L208" i="21"/>
  <c r="K208" i="21"/>
  <c r="L207" i="21"/>
  <c r="K207" i="21"/>
  <c r="J206" i="21"/>
  <c r="J205" i="21"/>
  <c r="J204" i="21"/>
  <c r="J203" i="21"/>
  <c r="J202" i="21"/>
  <c r="J201" i="21"/>
  <c r="J200" i="21"/>
  <c r="J199" i="21"/>
  <c r="J198" i="21"/>
  <c r="J197" i="21"/>
  <c r="J196" i="21"/>
  <c r="J195" i="21"/>
  <c r="J194" i="21"/>
  <c r="J193" i="21"/>
  <c r="J192" i="21"/>
  <c r="J191" i="21"/>
  <c r="J190" i="21"/>
  <c r="J189" i="21"/>
  <c r="L188" i="21"/>
  <c r="K188" i="21"/>
  <c r="L187" i="21"/>
  <c r="K187" i="21"/>
  <c r="L186" i="21"/>
  <c r="K186" i="21"/>
  <c r="L185" i="21"/>
  <c r="K185" i="21"/>
  <c r="L184" i="21"/>
  <c r="K184" i="21"/>
  <c r="L183" i="21"/>
  <c r="K183" i="21"/>
  <c r="L182" i="21"/>
  <c r="K182" i="21"/>
  <c r="L181" i="21"/>
  <c r="K181" i="21"/>
  <c r="L180" i="21"/>
  <c r="K180" i="21"/>
  <c r="L179" i="21"/>
  <c r="K179" i="21"/>
  <c r="L178" i="21"/>
  <c r="K178" i="21"/>
  <c r="L177" i="21"/>
  <c r="K177" i="21"/>
  <c r="J176" i="21"/>
  <c r="J175" i="21"/>
  <c r="J174" i="21"/>
  <c r="J173" i="21"/>
  <c r="J172" i="21"/>
  <c r="J171" i="21"/>
  <c r="J170" i="21"/>
  <c r="J169" i="21"/>
  <c r="J168" i="21"/>
  <c r="J167" i="21"/>
  <c r="J166" i="21"/>
  <c r="J165" i="21"/>
  <c r="J548" i="21"/>
  <c r="M548" i="21" s="1"/>
  <c r="J547" i="21"/>
  <c r="M547" i="21" s="1"/>
  <c r="J546" i="21"/>
  <c r="M546" i="21" s="1"/>
  <c r="J545" i="21"/>
  <c r="M545" i="21" s="1"/>
  <c r="J544" i="21"/>
  <c r="M544" i="21" s="1"/>
  <c r="J543" i="21"/>
  <c r="M543" i="21" s="1"/>
  <c r="M542" i="21"/>
  <c r="J542" i="21"/>
  <c r="J541" i="21"/>
  <c r="M541" i="21" s="1"/>
  <c r="J540" i="21"/>
  <c r="M540" i="21" s="1"/>
  <c r="J539" i="21"/>
  <c r="M539" i="21" s="1"/>
  <c r="J538" i="21"/>
  <c r="M538" i="21" s="1"/>
  <c r="J537" i="21"/>
  <c r="M537" i="21" s="1"/>
  <c r="M536" i="21"/>
  <c r="M532" i="21"/>
  <c r="M531" i="21"/>
  <c r="M528" i="21"/>
  <c r="M527" i="21"/>
  <c r="M525" i="21"/>
  <c r="J524" i="21"/>
  <c r="M524" i="21" s="1"/>
  <c r="J523" i="21"/>
  <c r="M523" i="21" s="1"/>
  <c r="J522" i="21"/>
  <c r="M522" i="21" s="1"/>
  <c r="J521" i="21"/>
  <c r="M521" i="21" s="1"/>
  <c r="J520" i="21"/>
  <c r="M520" i="21" s="1"/>
  <c r="J519" i="21"/>
  <c r="M519" i="21" s="1"/>
  <c r="M518" i="21"/>
  <c r="J518" i="21"/>
  <c r="J517" i="21"/>
  <c r="M517" i="21" s="1"/>
  <c r="J516" i="21"/>
  <c r="M516" i="21" s="1"/>
  <c r="J515" i="21"/>
  <c r="M515" i="21" s="1"/>
  <c r="J514" i="21"/>
  <c r="M514" i="21" s="1"/>
  <c r="J513" i="21"/>
  <c r="M513" i="21" s="1"/>
  <c r="M512" i="21"/>
  <c r="J512" i="21"/>
  <c r="J511" i="21"/>
  <c r="M511" i="21" s="1"/>
  <c r="J510" i="21"/>
  <c r="M510" i="21" s="1"/>
  <c r="J509" i="21"/>
  <c r="M509" i="21" s="1"/>
  <c r="M508" i="21"/>
  <c r="J508" i="21"/>
  <c r="J507" i="21"/>
  <c r="M507" i="21" s="1"/>
  <c r="J506" i="21"/>
  <c r="M506" i="21" s="1"/>
  <c r="J505" i="21"/>
  <c r="M505" i="21" s="1"/>
  <c r="M504" i="21"/>
  <c r="J504" i="21"/>
  <c r="J503" i="21"/>
  <c r="M503" i="21" s="1"/>
  <c r="J502" i="21"/>
  <c r="M502" i="21" s="1"/>
  <c r="J501" i="21"/>
  <c r="M501" i="21" s="1"/>
  <c r="M500" i="21"/>
  <c r="J500" i="21"/>
  <c r="J499" i="21"/>
  <c r="M499" i="21" s="1"/>
  <c r="J498" i="21"/>
  <c r="M498" i="21" s="1"/>
  <c r="J497" i="21"/>
  <c r="M497" i="21" s="1"/>
  <c r="M496" i="21"/>
  <c r="J496" i="21"/>
  <c r="J495" i="21"/>
  <c r="M495" i="21" s="1"/>
  <c r="M494" i="21"/>
  <c r="J494" i="21"/>
  <c r="J493" i="21"/>
  <c r="M493" i="21" s="1"/>
  <c r="J492" i="21"/>
  <c r="M492" i="21" s="1"/>
  <c r="J491" i="21"/>
  <c r="M491" i="21" s="1"/>
  <c r="J490" i="21"/>
  <c r="M490" i="21" s="1"/>
  <c r="J489" i="21"/>
  <c r="M489" i="21" s="1"/>
  <c r="M488" i="21"/>
  <c r="J488" i="21"/>
  <c r="J487" i="21"/>
  <c r="M487" i="21" s="1"/>
  <c r="J486" i="21"/>
  <c r="M486" i="21" s="1"/>
  <c r="J485" i="21"/>
  <c r="M485" i="21" s="1"/>
  <c r="M484" i="21"/>
  <c r="J484" i="21"/>
  <c r="J483" i="21"/>
  <c r="M483" i="21" s="1"/>
  <c r="J482" i="21"/>
  <c r="M482" i="21" s="1"/>
  <c r="J481" i="21"/>
  <c r="M481" i="21" s="1"/>
  <c r="M480" i="21"/>
  <c r="J480" i="21"/>
  <c r="J479" i="21"/>
  <c r="M479" i="21" s="1"/>
  <c r="M478" i="21"/>
  <c r="J478" i="2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M468" i="21"/>
  <c r="J468" i="21"/>
  <c r="J467" i="21"/>
  <c r="M467" i="21" s="1"/>
  <c r="J466" i="21"/>
  <c r="M466" i="21" s="1"/>
  <c r="M465" i="21"/>
  <c r="J465" i="21"/>
  <c r="J464" i="21"/>
  <c r="M464" i="21" s="1"/>
  <c r="J463" i="21"/>
  <c r="M463" i="21" s="1"/>
  <c r="J462" i="21"/>
  <c r="M462" i="21" s="1"/>
  <c r="M461" i="21"/>
  <c r="J461" i="21"/>
  <c r="J460" i="21"/>
  <c r="M460" i="21" s="1"/>
  <c r="J459" i="21"/>
  <c r="M459" i="21" s="1"/>
  <c r="J458" i="21"/>
  <c r="M458" i="21" s="1"/>
  <c r="M457" i="21"/>
  <c r="J457" i="21"/>
  <c r="J456" i="21"/>
  <c r="M456" i="21" s="1"/>
  <c r="J455" i="21"/>
  <c r="M455" i="21" s="1"/>
  <c r="J454" i="21"/>
  <c r="M454" i="21" s="1"/>
  <c r="M453" i="21"/>
  <c r="J453" i="21"/>
  <c r="J452" i="21"/>
  <c r="M452" i="21" s="1"/>
  <c r="J451" i="21"/>
  <c r="M451" i="21" s="1"/>
  <c r="J450" i="21"/>
  <c r="M450" i="21" s="1"/>
  <c r="M449" i="21"/>
  <c r="J449" i="21"/>
  <c r="J448" i="21"/>
  <c r="M448" i="21" s="1"/>
  <c r="J447" i="21"/>
  <c r="M447" i="21" s="1"/>
  <c r="J446" i="21"/>
  <c r="M446" i="21" s="1"/>
  <c r="M445" i="21"/>
  <c r="J445" i="21"/>
  <c r="J444" i="21"/>
  <c r="M444" i="21" s="1"/>
  <c r="J443" i="21"/>
  <c r="M443" i="21" s="1"/>
  <c r="J442" i="21"/>
  <c r="M442" i="21" s="1"/>
  <c r="M441" i="21"/>
  <c r="J441" i="21"/>
  <c r="J440" i="21"/>
  <c r="M440" i="21" s="1"/>
  <c r="J439" i="21"/>
  <c r="M439" i="21" s="1"/>
  <c r="J438" i="21"/>
  <c r="M438" i="21" s="1"/>
  <c r="M437" i="21"/>
  <c r="J437" i="21"/>
  <c r="J436" i="21"/>
  <c r="M436" i="21" s="1"/>
  <c r="J435" i="21"/>
  <c r="M435" i="21" s="1"/>
  <c r="J434" i="21"/>
  <c r="M434" i="21" s="1"/>
  <c r="M433" i="21"/>
  <c r="J433" i="21"/>
  <c r="J432" i="21"/>
  <c r="M432" i="21" s="1"/>
  <c r="J431" i="21"/>
  <c r="M431" i="21" s="1"/>
  <c r="J430" i="21"/>
  <c r="M430" i="21" s="1"/>
  <c r="M429" i="21"/>
  <c r="J429" i="21"/>
  <c r="J428" i="21"/>
  <c r="M428" i="21" s="1"/>
  <c r="J427" i="21"/>
  <c r="M427" i="21" s="1"/>
  <c r="J426" i="21"/>
  <c r="M426" i="21" s="1"/>
  <c r="M425" i="21"/>
  <c r="J425" i="21"/>
  <c r="J424" i="21"/>
  <c r="M424" i="21" s="1"/>
  <c r="J423" i="21"/>
  <c r="M423" i="21" s="1"/>
  <c r="J422" i="21"/>
  <c r="M422" i="21" s="1"/>
  <c r="M421" i="21"/>
  <c r="J421" i="21"/>
  <c r="J420" i="21"/>
  <c r="M420" i="21" s="1"/>
  <c r="J419" i="21"/>
  <c r="M419" i="21" s="1"/>
  <c r="J418" i="21"/>
  <c r="M418" i="21" s="1"/>
  <c r="M417" i="21"/>
  <c r="J417" i="21"/>
  <c r="J416" i="21"/>
  <c r="M416" i="21" s="1"/>
  <c r="J415" i="21"/>
  <c r="M415" i="21" s="1"/>
  <c r="J414" i="21"/>
  <c r="M414" i="21" s="1"/>
  <c r="M413" i="21"/>
  <c r="J413" i="21"/>
  <c r="J412" i="21"/>
  <c r="M412" i="21" s="1"/>
  <c r="J411" i="21"/>
  <c r="M411" i="21" s="1"/>
  <c r="J410" i="21"/>
  <c r="M410" i="21" s="1"/>
  <c r="M409" i="21"/>
  <c r="J409" i="21"/>
  <c r="J408" i="21"/>
  <c r="M408" i="21" s="1"/>
  <c r="J407" i="21"/>
  <c r="M407" i="21" s="1"/>
  <c r="J406" i="21"/>
  <c r="M406" i="21" s="1"/>
  <c r="M405" i="21"/>
  <c r="J405" i="21"/>
  <c r="J404" i="21"/>
  <c r="M404" i="21" s="1"/>
  <c r="J403" i="21"/>
  <c r="M403" i="21" s="1"/>
  <c r="J402" i="21"/>
  <c r="M402" i="21" s="1"/>
  <c r="M401" i="21"/>
  <c r="J401" i="21"/>
  <c r="J400" i="21"/>
  <c r="M400" i="21" s="1"/>
  <c r="J399" i="21"/>
  <c r="M399" i="21" s="1"/>
  <c r="J398" i="21"/>
  <c r="M398" i="21" s="1"/>
  <c r="M397" i="21"/>
  <c r="J397" i="21"/>
  <c r="J396" i="21"/>
  <c r="M396" i="21" s="1"/>
  <c r="J395" i="21"/>
  <c r="M395" i="21" s="1"/>
  <c r="J394" i="21"/>
  <c r="M394" i="21" s="1"/>
  <c r="J393" i="21"/>
  <c r="M393" i="21" s="1"/>
  <c r="J392" i="21"/>
  <c r="M392" i="21" s="1"/>
  <c r="J391" i="21"/>
  <c r="M391" i="21" s="1"/>
  <c r="M390" i="21"/>
  <c r="J390" i="21"/>
  <c r="J389" i="21"/>
  <c r="J388" i="21"/>
  <c r="M388" i="21" s="1"/>
  <c r="J387" i="21"/>
  <c r="M387" i="21" s="1"/>
  <c r="M386" i="21"/>
  <c r="J386" i="21"/>
  <c r="J385" i="21"/>
  <c r="M385" i="21" s="1"/>
  <c r="J384" i="21"/>
  <c r="M384" i="21" s="1"/>
  <c r="J383" i="21"/>
  <c r="M383" i="21" s="1"/>
  <c r="M382" i="21"/>
  <c r="J382" i="21"/>
  <c r="J381" i="21"/>
  <c r="M381" i="21" s="1"/>
  <c r="J380" i="21"/>
  <c r="M380" i="21" s="1"/>
  <c r="J379" i="21"/>
  <c r="M379" i="21" s="1"/>
  <c r="M378" i="21"/>
  <c r="J378" i="21"/>
  <c r="J377" i="21"/>
  <c r="M377" i="21" s="1"/>
  <c r="J376" i="21"/>
  <c r="M376" i="21" s="1"/>
  <c r="J375" i="21"/>
  <c r="M375" i="21" s="1"/>
  <c r="M374" i="21"/>
  <c r="J374" i="21"/>
  <c r="J373" i="21"/>
  <c r="M373" i="21" s="1"/>
  <c r="J372" i="21"/>
  <c r="M372" i="21" s="1"/>
  <c r="J371" i="21"/>
  <c r="M371" i="21" s="1"/>
  <c r="M370" i="21"/>
  <c r="J370" i="21"/>
  <c r="J369" i="21"/>
  <c r="M369" i="21" s="1"/>
  <c r="J368" i="21"/>
  <c r="M368" i="21" s="1"/>
  <c r="J367" i="21"/>
  <c r="M367" i="21" s="1"/>
  <c r="M366" i="21"/>
  <c r="J366" i="21"/>
  <c r="J365" i="21"/>
  <c r="M365" i="21" s="1"/>
  <c r="J364" i="21"/>
  <c r="M364" i="21" s="1"/>
  <c r="J363" i="21"/>
  <c r="M363" i="21" s="1"/>
  <c r="M362" i="21"/>
  <c r="J362" i="21"/>
  <c r="J361" i="21"/>
  <c r="M361" i="21" s="1"/>
  <c r="J360" i="21"/>
  <c r="M360" i="21" s="1"/>
  <c r="J359" i="21"/>
  <c r="M359" i="21" s="1"/>
  <c r="M358" i="21"/>
  <c r="J358" i="21"/>
  <c r="J357" i="21"/>
  <c r="M357" i="21" s="1"/>
  <c r="J356" i="21"/>
  <c r="M356" i="21" s="1"/>
  <c r="J355" i="21"/>
  <c r="M355" i="21" s="1"/>
  <c r="M354" i="21"/>
  <c r="J354" i="21"/>
  <c r="J353" i="21"/>
  <c r="M353" i="21" s="1"/>
  <c r="J352" i="21"/>
  <c r="M352" i="21" s="1"/>
  <c r="J351" i="21"/>
  <c r="M351" i="21" s="1"/>
  <c r="M350" i="21"/>
  <c r="J350" i="21"/>
  <c r="J349" i="21"/>
  <c r="M349" i="21" s="1"/>
  <c r="J348" i="21"/>
  <c r="M348" i="21" s="1"/>
  <c r="J347" i="21"/>
  <c r="M347" i="21" s="1"/>
  <c r="M346" i="21"/>
  <c r="J346" i="21"/>
  <c r="J345" i="21"/>
  <c r="M345" i="21" s="1"/>
  <c r="J344" i="21"/>
  <c r="M344" i="21" s="1"/>
  <c r="J343" i="21"/>
  <c r="M343" i="21" s="1"/>
  <c r="M342" i="21"/>
  <c r="J342" i="21"/>
  <c r="J341" i="21"/>
  <c r="M341" i="21" s="1"/>
  <c r="J340" i="21"/>
  <c r="M340" i="21" s="1"/>
  <c r="J339" i="21"/>
  <c r="M339" i="21" s="1"/>
  <c r="M338" i="21"/>
  <c r="J338" i="21"/>
  <c r="J337" i="21"/>
  <c r="M337" i="21" s="1"/>
  <c r="J336" i="21"/>
  <c r="M336" i="21" s="1"/>
  <c r="J335" i="21"/>
  <c r="M335" i="21" s="1"/>
  <c r="M334" i="21"/>
  <c r="J334" i="2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M257" i="21"/>
  <c r="J257" i="21"/>
  <c r="J256" i="21"/>
  <c r="M256" i="21" s="1"/>
  <c r="J255" i="21"/>
  <c r="M255" i="21" s="1"/>
  <c r="J254" i="21"/>
  <c r="M254" i="21" s="1"/>
  <c r="M253" i="21"/>
  <c r="J253" i="21"/>
  <c r="J252" i="21"/>
  <c r="M252" i="21" s="1"/>
  <c r="J251" i="21"/>
  <c r="M251" i="21" s="1"/>
  <c r="J250" i="21"/>
  <c r="M250" i="21" s="1"/>
  <c r="M249" i="21"/>
  <c r="J249" i="21"/>
  <c r="J248" i="21"/>
  <c r="M248" i="21" s="1"/>
  <c r="J247" i="21"/>
  <c r="M247" i="21" s="1"/>
  <c r="J246" i="21"/>
  <c r="M246" i="21" s="1"/>
  <c r="M245" i="21"/>
  <c r="J245" i="21"/>
  <c r="J244" i="21"/>
  <c r="M244" i="21" s="1"/>
  <c r="J243" i="21"/>
  <c r="M243" i="21" s="1"/>
  <c r="J242" i="21"/>
  <c r="M242" i="21" s="1"/>
  <c r="M241" i="21"/>
  <c r="J241" i="21"/>
  <c r="J240" i="21"/>
  <c r="M240" i="21" s="1"/>
  <c r="J239" i="21"/>
  <c r="M239" i="21" s="1"/>
  <c r="J238" i="21"/>
  <c r="M238" i="21" s="1"/>
  <c r="M237" i="21"/>
  <c r="J237" i="21"/>
  <c r="J236" i="21"/>
  <c r="M236" i="21" s="1"/>
  <c r="J235" i="21"/>
  <c r="M235" i="21" s="1"/>
  <c r="J234" i="21"/>
  <c r="M234" i="21" s="1"/>
  <c r="M233" i="21"/>
  <c r="J233" i="21"/>
  <c r="J232" i="21"/>
  <c r="M232" i="21" s="1"/>
  <c r="J231" i="21"/>
  <c r="M231" i="21" s="1"/>
  <c r="J230" i="21"/>
  <c r="M230" i="21" s="1"/>
  <c r="M229" i="21"/>
  <c r="J229" i="21"/>
  <c r="J228" i="21"/>
  <c r="M228" i="21" s="1"/>
  <c r="J227" i="21"/>
  <c r="M227" i="21" s="1"/>
  <c r="M226" i="21"/>
  <c r="M225" i="21"/>
  <c r="M224" i="21"/>
  <c r="M223" i="21"/>
  <c r="M222" i="21"/>
  <c r="M221" i="21"/>
  <c r="M220" i="21"/>
  <c r="M219" i="21"/>
  <c r="M218" i="21"/>
  <c r="M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M206" i="21"/>
  <c r="M205" i="21"/>
  <c r="M204" i="21"/>
  <c r="M203" i="21"/>
  <c r="M202" i="21"/>
  <c r="M201" i="21"/>
  <c r="M200" i="21"/>
  <c r="M199" i="21"/>
  <c r="M198" i="21"/>
  <c r="M197" i="21"/>
  <c r="M196" i="21"/>
  <c r="M195" i="21"/>
  <c r="M194" i="21"/>
  <c r="M193" i="21"/>
  <c r="M192" i="21"/>
  <c r="M191" i="21"/>
  <c r="M190" i="21"/>
  <c r="M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M176" i="21"/>
  <c r="M175" i="21"/>
  <c r="M174" i="21"/>
  <c r="M173" i="21"/>
  <c r="M172" i="21"/>
  <c r="M171" i="21"/>
  <c r="M170" i="21"/>
  <c r="M169" i="21"/>
  <c r="M168" i="21"/>
  <c r="M167" i="21"/>
  <c r="M166" i="21"/>
  <c r="M165" i="21"/>
  <c r="J164" i="21"/>
  <c r="M164" i="21" s="1"/>
  <c r="J163" i="21"/>
  <c r="M163" i="21" s="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O152" i="21"/>
  <c r="N152" i="21"/>
  <c r="L152" i="21"/>
  <c r="K152" i="21"/>
  <c r="L151" i="21"/>
  <c r="O151" i="21" s="1"/>
  <c r="K151" i="21"/>
  <c r="N151" i="21" s="1"/>
  <c r="L150" i="21"/>
  <c r="O150" i="21" s="1"/>
  <c r="K150" i="21"/>
  <c r="N150" i="21" s="1"/>
  <c r="L149" i="21"/>
  <c r="O149" i="21" s="1"/>
  <c r="K149" i="21"/>
  <c r="N149" i="21" s="1"/>
  <c r="O148" i="21"/>
  <c r="L148" i="21"/>
  <c r="K148" i="21"/>
  <c r="N148" i="21" s="1"/>
  <c r="L147" i="21"/>
  <c r="O147" i="21" s="1"/>
  <c r="K147" i="21"/>
  <c r="N147" i="21" s="1"/>
  <c r="N146" i="21"/>
  <c r="L146" i="21"/>
  <c r="O146" i="21" s="1"/>
  <c r="K146" i="21"/>
  <c r="O145" i="21"/>
  <c r="L145" i="21"/>
  <c r="K145" i="21"/>
  <c r="N145" i="21" s="1"/>
  <c r="L144" i="21"/>
  <c r="O144" i="21" s="1"/>
  <c r="K144" i="21"/>
  <c r="N144" i="21" s="1"/>
  <c r="L143" i="21"/>
  <c r="O143" i="21" s="1"/>
  <c r="K143" i="21"/>
  <c r="N143" i="21" s="1"/>
  <c r="O142" i="21"/>
  <c r="N142" i="21"/>
  <c r="L142" i="21"/>
  <c r="K142" i="21"/>
  <c r="L141" i="21"/>
  <c r="O141" i="21" s="1"/>
  <c r="K141" i="21"/>
  <c r="N141" i="21" s="1"/>
  <c r="M140" i="21"/>
  <c r="J140" i="21"/>
  <c r="M139" i="21"/>
  <c r="J139" i="21"/>
  <c r="M138" i="21"/>
  <c r="J138" i="21"/>
  <c r="M137" i="21"/>
  <c r="J137" i="21"/>
  <c r="M136" i="21"/>
  <c r="J136" i="21"/>
  <c r="M135" i="21"/>
  <c r="J135" i="21"/>
  <c r="M134" i="21"/>
  <c r="J134" i="21"/>
  <c r="M133" i="21"/>
  <c r="J133" i="21"/>
  <c r="M132" i="21"/>
  <c r="J132" i="21"/>
  <c r="M131" i="21"/>
  <c r="J131" i="21"/>
  <c r="M130" i="21"/>
  <c r="J130" i="21"/>
  <c r="M129" i="21"/>
  <c r="J129" i="21"/>
  <c r="M128" i="21"/>
  <c r="J128" i="21"/>
  <c r="M127" i="21"/>
  <c r="J127" i="21"/>
  <c r="M126" i="21"/>
  <c r="J126" i="21"/>
  <c r="M125" i="21"/>
  <c r="J125" i="21"/>
  <c r="M124" i="21"/>
  <c r="J124" i="21"/>
  <c r="M123" i="21"/>
  <c r="J123" i="21"/>
  <c r="M122" i="21"/>
  <c r="J122" i="21"/>
  <c r="M121" i="21"/>
  <c r="J121" i="21"/>
  <c r="M120" i="21"/>
  <c r="J120" i="21"/>
  <c r="M119" i="21"/>
  <c r="J119" i="21"/>
  <c r="M118" i="21"/>
  <c r="J118" i="21"/>
  <c r="M117" i="21"/>
  <c r="J117" i="21"/>
  <c r="M116" i="21"/>
  <c r="J116" i="21"/>
  <c r="M115" i="21"/>
  <c r="J115" i="21"/>
  <c r="M114" i="21"/>
  <c r="J114" i="21"/>
  <c r="M113" i="21"/>
  <c r="J113" i="21"/>
  <c r="M112" i="21"/>
  <c r="J112" i="21"/>
  <c r="M111" i="21"/>
  <c r="J111" i="21"/>
  <c r="M110" i="21"/>
  <c r="J110" i="21"/>
  <c r="M109" i="21"/>
  <c r="J109" i="21"/>
  <c r="M108" i="21"/>
  <c r="J108" i="21"/>
  <c r="M107" i="21"/>
  <c r="J107" i="21"/>
  <c r="N106" i="21"/>
  <c r="L106" i="21"/>
  <c r="O106" i="21" s="1"/>
  <c r="K106" i="21"/>
  <c r="O105" i="21"/>
  <c r="L105" i="21"/>
  <c r="K105" i="21"/>
  <c r="N105" i="21" s="1"/>
  <c r="L104" i="21"/>
  <c r="O104" i="21" s="1"/>
  <c r="K104" i="21"/>
  <c r="N104" i="21" s="1"/>
  <c r="L103" i="21"/>
  <c r="O103" i="21" s="1"/>
  <c r="K103" i="21"/>
  <c r="N103" i="21" s="1"/>
  <c r="O102" i="21"/>
  <c r="L102" i="21"/>
  <c r="K102" i="21"/>
  <c r="N102" i="21" s="1"/>
  <c r="L101" i="21"/>
  <c r="O101" i="21" s="1"/>
  <c r="K101" i="21"/>
  <c r="N101" i="21" s="1"/>
  <c r="N100" i="21"/>
  <c r="L100" i="21"/>
  <c r="O100" i="21" s="1"/>
  <c r="K100" i="21"/>
  <c r="O99" i="21"/>
  <c r="L99" i="21"/>
  <c r="K99" i="21"/>
  <c r="N99" i="21" s="1"/>
  <c r="L98" i="21"/>
  <c r="O98" i="21" s="1"/>
  <c r="K98" i="21"/>
  <c r="N98" i="21" s="1"/>
  <c r="L97" i="21"/>
  <c r="O97" i="21" s="1"/>
  <c r="K97" i="21"/>
  <c r="N97" i="21" s="1"/>
  <c r="L96" i="21"/>
  <c r="O96" i="21" s="1"/>
  <c r="K96" i="21"/>
  <c r="N96" i="21" s="1"/>
  <c r="O95" i="21"/>
  <c r="L95" i="21"/>
  <c r="K95" i="21"/>
  <c r="N95" i="21" s="1"/>
  <c r="L94" i="21"/>
  <c r="O94" i="21" s="1"/>
  <c r="K94" i="21"/>
  <c r="N94" i="21" s="1"/>
  <c r="L93" i="21"/>
  <c r="O93" i="21" s="1"/>
  <c r="K93" i="21"/>
  <c r="N93" i="21" s="1"/>
  <c r="L92" i="21"/>
  <c r="O92" i="21" s="1"/>
  <c r="K92" i="21"/>
  <c r="N92" i="21" s="1"/>
  <c r="O91" i="21"/>
  <c r="L91" i="21"/>
  <c r="K91" i="21"/>
  <c r="N91" i="21" s="1"/>
  <c r="L90" i="21"/>
  <c r="O90" i="21" s="1"/>
  <c r="K90" i="21"/>
  <c r="N90" i="21" s="1"/>
  <c r="L89" i="21"/>
  <c r="O89" i="21" s="1"/>
  <c r="K89" i="21"/>
  <c r="N89" i="21" s="1"/>
  <c r="L88" i="21"/>
  <c r="O88" i="21" s="1"/>
  <c r="K88" i="21"/>
  <c r="N88" i="21" s="1"/>
  <c r="O87" i="21"/>
  <c r="L87" i="21"/>
  <c r="K87" i="21"/>
  <c r="N87" i="21" s="1"/>
  <c r="L86" i="21"/>
  <c r="O86" i="21" s="1"/>
  <c r="K86" i="21"/>
  <c r="N86" i="21" s="1"/>
  <c r="L85" i="21"/>
  <c r="O85" i="21" s="1"/>
  <c r="K85" i="21"/>
  <c r="N85" i="21" s="1"/>
  <c r="L84" i="21"/>
  <c r="O84" i="21" s="1"/>
  <c r="K84" i="21"/>
  <c r="N84" i="21" s="1"/>
  <c r="O83" i="21"/>
  <c r="L83" i="21"/>
  <c r="K83" i="21"/>
  <c r="N83" i="21" s="1"/>
  <c r="J82" i="21"/>
  <c r="M82" i="21" s="1"/>
  <c r="J81" i="21"/>
  <c r="M81" i="21" s="1"/>
  <c r="M80" i="21"/>
  <c r="J80" i="21"/>
  <c r="J79" i="21"/>
  <c r="M79" i="21" s="1"/>
  <c r="J78" i="21"/>
  <c r="M78" i="21" s="1"/>
  <c r="J77" i="21"/>
  <c r="M77" i="21" s="1"/>
  <c r="M76" i="21"/>
  <c r="J76" i="21"/>
  <c r="J75" i="21"/>
  <c r="M75" i="21" s="1"/>
  <c r="J74" i="21"/>
  <c r="M74" i="21" s="1"/>
  <c r="J73" i="21"/>
  <c r="M73" i="21" s="1"/>
  <c r="M72" i="21"/>
  <c r="J72" i="21"/>
  <c r="J71" i="21"/>
  <c r="M71" i="21" s="1"/>
  <c r="J70" i="21"/>
  <c r="M70" i="21" s="1"/>
  <c r="J69" i="21"/>
  <c r="M69" i="21" s="1"/>
  <c r="M68" i="21"/>
  <c r="J68" i="21"/>
  <c r="J67" i="21"/>
  <c r="M67" i="21" s="1"/>
  <c r="J66" i="21"/>
  <c r="M66" i="21" s="1"/>
  <c r="J65" i="21"/>
  <c r="M65" i="21" s="1"/>
  <c r="M64" i="21"/>
  <c r="J64" i="21"/>
  <c r="J63" i="21"/>
  <c r="M63" i="21" s="1"/>
  <c r="J62" i="21"/>
  <c r="M62" i="21" s="1"/>
  <c r="J61" i="21"/>
  <c r="M61" i="21" s="1"/>
  <c r="M60" i="21"/>
  <c r="J60" i="21"/>
  <c r="J59" i="21"/>
  <c r="M59" i="21" s="1"/>
  <c r="J58" i="21"/>
  <c r="M58" i="21" s="1"/>
  <c r="J57" i="21"/>
  <c r="M57" i="21" s="1"/>
  <c r="M56" i="21"/>
  <c r="J56" i="21"/>
  <c r="J55" i="21"/>
  <c r="M55" i="21" s="1"/>
  <c r="J54" i="21"/>
  <c r="M54" i="21" s="1"/>
  <c r="J53" i="21"/>
  <c r="M53" i="21" s="1"/>
  <c r="M52" i="21"/>
  <c r="J52" i="21"/>
  <c r="J51" i="21"/>
  <c r="M51" i="21" s="1"/>
  <c r="J50" i="21"/>
  <c r="M50" i="21" s="1"/>
  <c r="L49" i="21"/>
  <c r="O49" i="21" s="1"/>
  <c r="K49" i="21"/>
  <c r="N49" i="21" s="1"/>
  <c r="N48" i="21"/>
  <c r="L48" i="21"/>
  <c r="O48" i="21" s="1"/>
  <c r="K48" i="21"/>
  <c r="L47" i="21"/>
  <c r="O47" i="21" s="1"/>
  <c r="K47" i="21"/>
  <c r="N47" i="21" s="1"/>
  <c r="L46" i="21"/>
  <c r="O46" i="21" s="1"/>
  <c r="K46" i="21"/>
  <c r="N46" i="21" s="1"/>
  <c r="L45" i="21"/>
  <c r="O45" i="21" s="1"/>
  <c r="K45" i="21"/>
  <c r="N45" i="21" s="1"/>
  <c r="N44" i="21"/>
  <c r="L44" i="21"/>
  <c r="O44" i="21" s="1"/>
  <c r="K44" i="21"/>
  <c r="L43" i="21"/>
  <c r="O43" i="21" s="1"/>
  <c r="K43" i="21"/>
  <c r="N43" i="21" s="1"/>
  <c r="L42" i="21"/>
  <c r="O42" i="21" s="1"/>
  <c r="K42" i="21"/>
  <c r="N42" i="21" s="1"/>
  <c r="L41" i="21"/>
  <c r="O41" i="21" s="1"/>
  <c r="K41" i="21"/>
  <c r="N41" i="21" s="1"/>
  <c r="N40" i="21"/>
  <c r="L40" i="21"/>
  <c r="O40" i="21" s="1"/>
  <c r="K40" i="21"/>
  <c r="L39" i="21"/>
  <c r="O39" i="21" s="1"/>
  <c r="K39" i="21"/>
  <c r="N39" i="21" s="1"/>
  <c r="L38" i="21"/>
  <c r="O38" i="21" s="1"/>
  <c r="K38" i="21"/>
  <c r="N38" i="21" s="1"/>
  <c r="J37" i="21"/>
  <c r="M37" i="21" s="1"/>
  <c r="M36" i="21"/>
  <c r="J36" i="21"/>
  <c r="J35" i="21"/>
  <c r="M35" i="21" s="1"/>
  <c r="J34" i="21"/>
  <c r="M34" i="21" s="1"/>
  <c r="J33" i="21"/>
  <c r="M33" i="21" s="1"/>
  <c r="M32" i="21"/>
  <c r="J32" i="21"/>
  <c r="J31" i="21"/>
  <c r="M31" i="21" s="1"/>
  <c r="J30" i="21"/>
  <c r="M30" i="21" s="1"/>
  <c r="J29" i="21"/>
  <c r="M29" i="21" s="1"/>
  <c r="M28" i="21"/>
  <c r="J28" i="21"/>
  <c r="J27" i="21"/>
  <c r="M27" i="21" s="1"/>
  <c r="J26" i="21"/>
  <c r="M26" i="21" s="1"/>
  <c r="X536" i="16"/>
  <c r="W536" i="16"/>
  <c r="X535" i="16"/>
  <c r="W535" i="16"/>
  <c r="X534" i="16"/>
  <c r="W534" i="16"/>
  <c r="X533" i="16"/>
  <c r="W533" i="16"/>
  <c r="X532" i="16"/>
  <c r="W532" i="16"/>
  <c r="X531" i="16"/>
  <c r="W531" i="16"/>
  <c r="X530" i="16"/>
  <c r="W530" i="16"/>
  <c r="X529" i="16"/>
  <c r="W529" i="16"/>
  <c r="X528" i="16"/>
  <c r="W528" i="16"/>
  <c r="X527" i="16"/>
  <c r="W527" i="16"/>
  <c r="X526" i="16"/>
  <c r="W526" i="16"/>
  <c r="X525" i="16"/>
  <c r="W525" i="16"/>
  <c r="X226" i="16"/>
  <c r="W226" i="16"/>
  <c r="X225" i="16"/>
  <c r="W225" i="16"/>
  <c r="X224" i="16"/>
  <c r="W224" i="16"/>
  <c r="X223" i="16"/>
  <c r="W223" i="16"/>
  <c r="X222" i="16"/>
  <c r="W222" i="16"/>
  <c r="X221" i="16"/>
  <c r="W221" i="16"/>
  <c r="X220" i="16"/>
  <c r="W220" i="16"/>
  <c r="X219" i="16"/>
  <c r="W219" i="16"/>
  <c r="X218" i="16"/>
  <c r="W218" i="16"/>
  <c r="X217" i="16"/>
  <c r="W217" i="16"/>
  <c r="V216" i="16"/>
  <c r="V215" i="16"/>
  <c r="V214" i="16"/>
  <c r="V213" i="16"/>
  <c r="V212" i="16"/>
  <c r="V211" i="16"/>
  <c r="V210" i="16"/>
  <c r="V209" i="16"/>
  <c r="V208" i="16"/>
  <c r="V207" i="16"/>
  <c r="X206" i="16"/>
  <c r="W206" i="16"/>
  <c r="X205" i="16"/>
  <c r="W205" i="16"/>
  <c r="X204" i="16"/>
  <c r="W204" i="16"/>
  <c r="X203" i="16"/>
  <c r="W203" i="16"/>
  <c r="AD202" i="17"/>
  <c r="X202" i="17"/>
  <c r="W202" i="17"/>
  <c r="AC202" i="17" s="1"/>
  <c r="X202" i="16"/>
  <c r="W202" i="16"/>
  <c r="AD201" i="17"/>
  <c r="X201" i="17"/>
  <c r="W201" i="17"/>
  <c r="AC201" i="17" s="1"/>
  <c r="X201" i="16"/>
  <c r="W201" i="16"/>
  <c r="AD200" i="17"/>
  <c r="X200" i="17"/>
  <c r="W200" i="17"/>
  <c r="AC200" i="17" s="1"/>
  <c r="X200" i="16"/>
  <c r="W200" i="16"/>
  <c r="AD199" i="17"/>
  <c r="X199" i="17"/>
  <c r="W199" i="17"/>
  <c r="AC199" i="17" s="1"/>
  <c r="X199" i="16"/>
  <c r="W199" i="16"/>
  <c r="AD198" i="17"/>
  <c r="X198" i="17"/>
  <c r="W198" i="17"/>
  <c r="AC198" i="17" s="1"/>
  <c r="X198" i="16"/>
  <c r="W198" i="16"/>
  <c r="AD197" i="17"/>
  <c r="X197" i="17"/>
  <c r="W197" i="17"/>
  <c r="AC197" i="17" s="1"/>
  <c r="X197" i="16"/>
  <c r="W197" i="16"/>
  <c r="AD196" i="17"/>
  <c r="X196" i="17"/>
  <c r="W196" i="17"/>
  <c r="AC196" i="17" s="1"/>
  <c r="X196" i="16"/>
  <c r="W196" i="16"/>
  <c r="AD195" i="17"/>
  <c r="X195" i="17"/>
  <c r="W195" i="17"/>
  <c r="AC195" i="17" s="1"/>
  <c r="X195" i="16"/>
  <c r="W195" i="16"/>
  <c r="AD194" i="17"/>
  <c r="X194" i="17"/>
  <c r="W194" i="17"/>
  <c r="AC194" i="17" s="1"/>
  <c r="X194" i="16"/>
  <c r="W194" i="16"/>
  <c r="AD193" i="17"/>
  <c r="X193" i="17"/>
  <c r="W193" i="17"/>
  <c r="AC193" i="17" s="1"/>
  <c r="X193" i="16"/>
  <c r="W193" i="16"/>
  <c r="AD192" i="17"/>
  <c r="X192" i="17"/>
  <c r="W192" i="17"/>
  <c r="AC192" i="17" s="1"/>
  <c r="X192" i="16"/>
  <c r="W192" i="16"/>
  <c r="AD191" i="17"/>
  <c r="AD11" i="21" s="1"/>
  <c r="X191" i="17"/>
  <c r="W191" i="17"/>
  <c r="AC191" i="17" s="1"/>
  <c r="X191" i="16"/>
  <c r="W191" i="16"/>
  <c r="X190" i="16"/>
  <c r="W190" i="16"/>
  <c r="X189" i="16"/>
  <c r="W189" i="16"/>
  <c r="V188" i="16"/>
  <c r="V187" i="16"/>
  <c r="V186" i="16"/>
  <c r="V185" i="16"/>
  <c r="V184" i="16"/>
  <c r="V183" i="16"/>
  <c r="V182" i="16"/>
  <c r="V181" i="16"/>
  <c r="V180" i="16"/>
  <c r="V179" i="16"/>
  <c r="V178" i="16"/>
  <c r="V177" i="16"/>
  <c r="X176" i="16"/>
  <c r="W176" i="16"/>
  <c r="X175" i="16"/>
  <c r="W175" i="16"/>
  <c r="X174" i="16"/>
  <c r="W174" i="16"/>
  <c r="X173" i="16"/>
  <c r="W173" i="16"/>
  <c r="X172" i="16"/>
  <c r="W172" i="16"/>
  <c r="X171" i="16"/>
  <c r="W171" i="16"/>
  <c r="X170" i="16"/>
  <c r="W170" i="16"/>
  <c r="X169" i="16"/>
  <c r="W169" i="16"/>
  <c r="X168" i="16"/>
  <c r="W168" i="16"/>
  <c r="X167" i="16"/>
  <c r="W167" i="16"/>
  <c r="X166" i="16"/>
  <c r="W166" i="16"/>
  <c r="X165" i="16"/>
  <c r="W165" i="16"/>
  <c r="AD63" i="17"/>
  <c r="X63" i="17"/>
  <c r="W63" i="17"/>
  <c r="AC63" i="17" s="1"/>
  <c r="AD62" i="17"/>
  <c r="X62" i="17"/>
  <c r="W62" i="17"/>
  <c r="AC62" i="17" s="1"/>
  <c r="AD61" i="17"/>
  <c r="X61" i="17"/>
  <c r="W61" i="17"/>
  <c r="AC61" i="17" s="1"/>
  <c r="AD60" i="17"/>
  <c r="X60" i="17"/>
  <c r="W60" i="17"/>
  <c r="AC60" i="17" s="1"/>
  <c r="AD59" i="17"/>
  <c r="X59" i="17"/>
  <c r="W59" i="17"/>
  <c r="AC59" i="17" s="1"/>
  <c r="AD58" i="17"/>
  <c r="X58" i="17"/>
  <c r="W58" i="17"/>
  <c r="AC58" i="17" s="1"/>
  <c r="AD57" i="17"/>
  <c r="X57" i="17"/>
  <c r="W57" i="17"/>
  <c r="AC57" i="17" s="1"/>
  <c r="AD56" i="17"/>
  <c r="X56" i="17"/>
  <c r="W56" i="17"/>
  <c r="AC56" i="17" s="1"/>
  <c r="AD55" i="17"/>
  <c r="X55" i="17"/>
  <c r="W55" i="17"/>
  <c r="AC55" i="17" s="1"/>
  <c r="AD54" i="17"/>
  <c r="X54" i="17"/>
  <c r="W54" i="17"/>
  <c r="AC54" i="17" s="1"/>
  <c r="AE53" i="17"/>
  <c r="V53" i="17"/>
  <c r="AB53" i="17" s="1"/>
  <c r="AE52" i="17"/>
  <c r="V52" i="17"/>
  <c r="AB52" i="17" s="1"/>
  <c r="AE51" i="17"/>
  <c r="V51" i="17"/>
  <c r="AB51" i="17" s="1"/>
  <c r="AE50" i="17"/>
  <c r="V50" i="17"/>
  <c r="AB50" i="17" s="1"/>
  <c r="AE49" i="17"/>
  <c r="V49" i="17"/>
  <c r="AB49" i="17" s="1"/>
  <c r="AE48" i="17"/>
  <c r="V48" i="17"/>
  <c r="AB48" i="17" s="1"/>
  <c r="AE47" i="17"/>
  <c r="V47" i="17"/>
  <c r="AB47" i="17" s="1"/>
  <c r="AE46" i="17"/>
  <c r="V46" i="17"/>
  <c r="AB46" i="17" s="1"/>
  <c r="AE45" i="17"/>
  <c r="V45" i="17"/>
  <c r="AB45" i="17" s="1"/>
  <c r="AE44" i="17"/>
  <c r="V44" i="17"/>
  <c r="AB44" i="17" s="1"/>
  <c r="AD43" i="17"/>
  <c r="X43" i="17"/>
  <c r="W43" i="17"/>
  <c r="AC43" i="17" s="1"/>
  <c r="AD42" i="17"/>
  <c r="X42" i="17"/>
  <c r="W42" i="17"/>
  <c r="AC42" i="17" s="1"/>
  <c r="AD41" i="17"/>
  <c r="X41" i="17"/>
  <c r="W41" i="17"/>
  <c r="AC41" i="17" s="1"/>
  <c r="AD40" i="17"/>
  <c r="X40" i="17"/>
  <c r="W40" i="17"/>
  <c r="AC40" i="17" s="1"/>
  <c r="AD39" i="17"/>
  <c r="X39" i="17"/>
  <c r="W39" i="17"/>
  <c r="AC39" i="17" s="1"/>
  <c r="AD38" i="17"/>
  <c r="X38" i="17"/>
  <c r="W38" i="17"/>
  <c r="AC38" i="17" s="1"/>
  <c r="AD37" i="17"/>
  <c r="X37" i="17"/>
  <c r="W37" i="17"/>
  <c r="AC37" i="17" s="1"/>
  <c r="AD36" i="17"/>
  <c r="X36" i="17"/>
  <c r="W36" i="17"/>
  <c r="AC36" i="17" s="1"/>
  <c r="AD35" i="17"/>
  <c r="X35" i="17"/>
  <c r="W35" i="17"/>
  <c r="AC35" i="17" s="1"/>
  <c r="AD34" i="17"/>
  <c r="X34" i="17"/>
  <c r="W34" i="17"/>
  <c r="AC34" i="17" s="1"/>
  <c r="AD33" i="17"/>
  <c r="X33" i="17"/>
  <c r="W33" i="17"/>
  <c r="AC33" i="17" s="1"/>
  <c r="AD32" i="17"/>
  <c r="X32" i="17"/>
  <c r="W32" i="17"/>
  <c r="AC32" i="17" s="1"/>
  <c r="AD31" i="17"/>
  <c r="X31" i="17"/>
  <c r="W31" i="17"/>
  <c r="AC31" i="17" s="1"/>
  <c r="AD30" i="17"/>
  <c r="X30" i="17"/>
  <c r="W30" i="17"/>
  <c r="AC30" i="17" s="1"/>
  <c r="AD29" i="17"/>
  <c r="X29" i="17"/>
  <c r="W29" i="17"/>
  <c r="AC29" i="17" s="1"/>
  <c r="AD28" i="17"/>
  <c r="X28" i="17"/>
  <c r="W28" i="17"/>
  <c r="AC28" i="17" s="1"/>
  <c r="AD27" i="17"/>
  <c r="X27" i="17"/>
  <c r="W27" i="17"/>
  <c r="AC27" i="17" s="1"/>
  <c r="AD26" i="17"/>
  <c r="X26" i="17"/>
  <c r="W26" i="17"/>
  <c r="AC26" i="17" s="1"/>
  <c r="AE25" i="17"/>
  <c r="V25" i="17"/>
  <c r="AB25" i="17" s="1"/>
  <c r="AE24" i="17"/>
  <c r="V24" i="17"/>
  <c r="AB24" i="17" s="1"/>
  <c r="AE23" i="17"/>
  <c r="V23" i="17"/>
  <c r="AB23" i="17" s="1"/>
  <c r="AE22" i="17"/>
  <c r="V22" i="17"/>
  <c r="AB22" i="17" s="1"/>
  <c r="AE21" i="17"/>
  <c r="V21" i="17"/>
  <c r="AB21" i="17" s="1"/>
  <c r="AE20" i="17"/>
  <c r="V20" i="17"/>
  <c r="AB20" i="17" s="1"/>
  <c r="AE19" i="17"/>
  <c r="V19" i="17"/>
  <c r="AB19" i="17" s="1"/>
  <c r="AE18" i="17"/>
  <c r="V18" i="17"/>
  <c r="AB18" i="17" s="1"/>
  <c r="AE17" i="17"/>
  <c r="V17" i="17"/>
  <c r="AB17" i="17" s="1"/>
  <c r="AE16" i="17"/>
  <c r="V16" i="17"/>
  <c r="AB16" i="17" s="1"/>
  <c r="AE15" i="17"/>
  <c r="V15" i="17"/>
  <c r="AB15" i="17" s="1"/>
  <c r="AE14" i="17"/>
  <c r="V14" i="17"/>
  <c r="AB14" i="17" s="1"/>
  <c r="AD13" i="17"/>
  <c r="X13" i="17"/>
  <c r="W13" i="17"/>
  <c r="AC13" i="17" s="1"/>
  <c r="AD12" i="17"/>
  <c r="X12" i="17"/>
  <c r="W12" i="17"/>
  <c r="AC12" i="17" s="1"/>
  <c r="AD11" i="17"/>
  <c r="X11" i="17"/>
  <c r="W11" i="17"/>
  <c r="AC11" i="17" s="1"/>
  <c r="AD10" i="17"/>
  <c r="X10" i="17"/>
  <c r="W10" i="17"/>
  <c r="AC10" i="17" s="1"/>
  <c r="AD9" i="17"/>
  <c r="X9" i="17"/>
  <c r="W9" i="17"/>
  <c r="AC9" i="17" s="1"/>
  <c r="AD8" i="17"/>
  <c r="X8" i="17"/>
  <c r="W8" i="17"/>
  <c r="AC8" i="17" s="1"/>
  <c r="AD7" i="17"/>
  <c r="X7" i="17"/>
  <c r="W7" i="17"/>
  <c r="AC7" i="17" s="1"/>
  <c r="AD6" i="17"/>
  <c r="X6" i="17"/>
  <c r="W6" i="17"/>
  <c r="AC6" i="17" s="1"/>
  <c r="AD5" i="17"/>
  <c r="X5" i="17"/>
  <c r="W5" i="17"/>
  <c r="AC5" i="17" s="1"/>
  <c r="AD4" i="17"/>
  <c r="X4" i="17"/>
  <c r="W4" i="17"/>
  <c r="AC4" i="17" s="1"/>
  <c r="AD3" i="17"/>
  <c r="X3" i="17"/>
  <c r="W3" i="17"/>
  <c r="AC3" i="17" s="1"/>
  <c r="AD2" i="17"/>
  <c r="X2" i="17"/>
  <c r="W2" i="17"/>
  <c r="AC2" i="17" s="1"/>
  <c r="M40" i="5"/>
  <c r="M39" i="5"/>
  <c r="M38" i="5"/>
  <c r="AJ9" i="17"/>
  <c r="AI9" i="17"/>
  <c r="AJ4" i="17"/>
  <c r="AI4" i="17"/>
  <c r="AJ3" i="17"/>
  <c r="AI3" i="17"/>
  <c r="AJ2" i="17"/>
  <c r="AI2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V202" i="17"/>
  <c r="AB202" i="17" s="1"/>
  <c r="V201" i="17"/>
  <c r="AB201" i="17" s="1"/>
  <c r="V200" i="17"/>
  <c r="AB200" i="17" s="1"/>
  <c r="V199" i="17"/>
  <c r="AB199" i="17" s="1"/>
  <c r="V198" i="17"/>
  <c r="AB198" i="17" s="1"/>
  <c r="V197" i="17"/>
  <c r="AB197" i="17" s="1"/>
  <c r="V196" i="17"/>
  <c r="AB196" i="17" s="1"/>
  <c r="V195" i="17"/>
  <c r="AB195" i="17" s="1"/>
  <c r="V194" i="17"/>
  <c r="AB194" i="17" s="1"/>
  <c r="V193" i="17"/>
  <c r="AB193" i="17" s="1"/>
  <c r="V192" i="17"/>
  <c r="AB192" i="17" s="1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AC64" i="17" s="1"/>
  <c r="V64" i="17"/>
  <c r="AB64" i="17" s="1"/>
  <c r="V63" i="17"/>
  <c r="AB63" i="17" s="1"/>
  <c r="V62" i="17"/>
  <c r="AB62" i="17" s="1"/>
  <c r="V61" i="17"/>
  <c r="AB61" i="17" s="1"/>
  <c r="V60" i="17"/>
  <c r="AB60" i="17" s="1"/>
  <c r="V59" i="17"/>
  <c r="AB59" i="17" s="1"/>
  <c r="V58" i="17"/>
  <c r="AB58" i="17" s="1"/>
  <c r="V57" i="17"/>
  <c r="AB57" i="17" s="1"/>
  <c r="V56" i="17"/>
  <c r="AB56" i="17" s="1"/>
  <c r="V55" i="17"/>
  <c r="AB55" i="17" s="1"/>
  <c r="V54" i="17"/>
  <c r="AB54" i="17" s="1"/>
  <c r="X53" i="17"/>
  <c r="W53" i="17"/>
  <c r="X52" i="17"/>
  <c r="W52" i="17"/>
  <c r="AC52" i="17" s="1"/>
  <c r="X51" i="17"/>
  <c r="W51" i="17"/>
  <c r="X50" i="17"/>
  <c r="W50" i="17"/>
  <c r="AC50" i="17" s="1"/>
  <c r="X49" i="17"/>
  <c r="W49" i="17"/>
  <c r="X48" i="17"/>
  <c r="W48" i="17"/>
  <c r="AC48" i="17" s="1"/>
  <c r="X47" i="17"/>
  <c r="W47" i="17"/>
  <c r="X46" i="17"/>
  <c r="W46" i="17"/>
  <c r="AC46" i="17" s="1"/>
  <c r="X45" i="17"/>
  <c r="W45" i="17"/>
  <c r="X44" i="17"/>
  <c r="W44" i="17"/>
  <c r="AC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V37" i="17"/>
  <c r="AB37" i="17" s="1"/>
  <c r="V36" i="17"/>
  <c r="AB36" i="17" s="1"/>
  <c r="V35" i="17"/>
  <c r="AB35" i="17" s="1"/>
  <c r="V34" i="17"/>
  <c r="AB34" i="17" s="1"/>
  <c r="V33" i="17"/>
  <c r="AB33" i="17" s="1"/>
  <c r="V32" i="17"/>
  <c r="AB32" i="17" s="1"/>
  <c r="V31" i="17"/>
  <c r="AB31" i="17" s="1"/>
  <c r="V30" i="17"/>
  <c r="AB30" i="17" s="1"/>
  <c r="V29" i="17"/>
  <c r="AB29" i="17" s="1"/>
  <c r="V28" i="17"/>
  <c r="AB28" i="17" s="1"/>
  <c r="V27" i="17"/>
  <c r="AB27" i="17" s="1"/>
  <c r="V26" i="17"/>
  <c r="AB26" i="17" s="1"/>
  <c r="X25" i="17"/>
  <c r="W25" i="17"/>
  <c r="AC25" i="17" s="1"/>
  <c r="X24" i="17"/>
  <c r="W24" i="17"/>
  <c r="X23" i="17"/>
  <c r="W23" i="17"/>
  <c r="AC23" i="17" s="1"/>
  <c r="X22" i="17"/>
  <c r="W22" i="17"/>
  <c r="X21" i="17"/>
  <c r="W21" i="17"/>
  <c r="AC21" i="17" s="1"/>
  <c r="X20" i="17"/>
  <c r="W20" i="17"/>
  <c r="X19" i="17"/>
  <c r="W19" i="17"/>
  <c r="AC19" i="17" s="1"/>
  <c r="X18" i="17"/>
  <c r="W18" i="17"/>
  <c r="X17" i="17"/>
  <c r="W17" i="17"/>
  <c r="AC17" i="17" s="1"/>
  <c r="X16" i="17"/>
  <c r="W16" i="17"/>
  <c r="X15" i="17"/>
  <c r="W15" i="17"/>
  <c r="AC15" i="17" s="1"/>
  <c r="X14" i="17"/>
  <c r="W14" i="17"/>
  <c r="V13" i="17"/>
  <c r="AB13" i="17" s="1"/>
  <c r="V12" i="17"/>
  <c r="AB12" i="17" s="1"/>
  <c r="V11" i="17"/>
  <c r="AB11" i="17" s="1"/>
  <c r="V10" i="17"/>
  <c r="AB10" i="17" s="1"/>
  <c r="V9" i="17"/>
  <c r="AB9" i="17" s="1"/>
  <c r="V8" i="17"/>
  <c r="AB8" i="17" s="1"/>
  <c r="V7" i="17"/>
  <c r="AB7" i="17" s="1"/>
  <c r="V6" i="17"/>
  <c r="AB6" i="17" s="1"/>
  <c r="V5" i="17"/>
  <c r="AB5" i="17" s="1"/>
  <c r="V4" i="17"/>
  <c r="AB4" i="17" s="1"/>
  <c r="V3" i="17"/>
  <c r="AB3" i="17" s="1"/>
  <c r="V2" i="17"/>
  <c r="AB2" i="17" s="1"/>
  <c r="AE548" i="16"/>
  <c r="AE547" i="16"/>
  <c r="AE546" i="16"/>
  <c r="AE545" i="16"/>
  <c r="AE544" i="16"/>
  <c r="AE543" i="16"/>
  <c r="AE542" i="16"/>
  <c r="AE541" i="16"/>
  <c r="AE540" i="16"/>
  <c r="AE539" i="16"/>
  <c r="AE538" i="16"/>
  <c r="AE537" i="16"/>
  <c r="AA12" i="21" s="1"/>
  <c r="AE536" i="16"/>
  <c r="AD536" i="16"/>
  <c r="AC536" i="16"/>
  <c r="AE535" i="16"/>
  <c r="AD535" i="16"/>
  <c r="AC535" i="16"/>
  <c r="AE534" i="16"/>
  <c r="AD534" i="16"/>
  <c r="AC534" i="16"/>
  <c r="AE533" i="16"/>
  <c r="AD533" i="16"/>
  <c r="AC533" i="16"/>
  <c r="AE532" i="16"/>
  <c r="AD532" i="16"/>
  <c r="AC532" i="16"/>
  <c r="AE531" i="16"/>
  <c r="AD531" i="16"/>
  <c r="AC531" i="16"/>
  <c r="AE530" i="16"/>
  <c r="AD530" i="16"/>
  <c r="AC530" i="16"/>
  <c r="AE529" i="16"/>
  <c r="AD529" i="16"/>
  <c r="AC529" i="16"/>
  <c r="AE528" i="16"/>
  <c r="AD528" i="16"/>
  <c r="AC528" i="16"/>
  <c r="AE527" i="16"/>
  <c r="AD527" i="16"/>
  <c r="AC527" i="16"/>
  <c r="AE526" i="16"/>
  <c r="AD526" i="16"/>
  <c r="AC526" i="16"/>
  <c r="AE525" i="16"/>
  <c r="AD525" i="16"/>
  <c r="AC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D226" i="16"/>
  <c r="AC226" i="16"/>
  <c r="AE225" i="16"/>
  <c r="AD225" i="16"/>
  <c r="AC225" i="16"/>
  <c r="AE224" i="16"/>
  <c r="AD224" i="16"/>
  <c r="AC224" i="16"/>
  <c r="AE223" i="16"/>
  <c r="AD223" i="16"/>
  <c r="AC223" i="16"/>
  <c r="AE222" i="16"/>
  <c r="AD222" i="16"/>
  <c r="AC222" i="16"/>
  <c r="AE221" i="16"/>
  <c r="AD221" i="16"/>
  <c r="AC221" i="16"/>
  <c r="AE220" i="16"/>
  <c r="AD220" i="16"/>
  <c r="AC220" i="16"/>
  <c r="AE219" i="16"/>
  <c r="AD219" i="16"/>
  <c r="AC219" i="16"/>
  <c r="AE218" i="16"/>
  <c r="AD218" i="16"/>
  <c r="AC218" i="16"/>
  <c r="AE217" i="16"/>
  <c r="AD217" i="16"/>
  <c r="AC217" i="16"/>
  <c r="AG216" i="16"/>
  <c r="AF216" i="16"/>
  <c r="AB216" i="16"/>
  <c r="AG215" i="16"/>
  <c r="AF215" i="16"/>
  <c r="AB215" i="16"/>
  <c r="AG214" i="16"/>
  <c r="AF214" i="16"/>
  <c r="AB214" i="16"/>
  <c r="AG213" i="16"/>
  <c r="AF213" i="16"/>
  <c r="AB213" i="16"/>
  <c r="AG212" i="16"/>
  <c r="AF212" i="16"/>
  <c r="AB212" i="16"/>
  <c r="AG211" i="16"/>
  <c r="AF211" i="16"/>
  <c r="AB211" i="16"/>
  <c r="AG210" i="16"/>
  <c r="AF210" i="16"/>
  <c r="AB210" i="16"/>
  <c r="AG209" i="16"/>
  <c r="AF209" i="16"/>
  <c r="AB209" i="16"/>
  <c r="AG208" i="16"/>
  <c r="AF208" i="16"/>
  <c r="AB208" i="16"/>
  <c r="AG207" i="16"/>
  <c r="AF207" i="16"/>
  <c r="AB207" i="16"/>
  <c r="AE206" i="16"/>
  <c r="AD206" i="16"/>
  <c r="AC206" i="16"/>
  <c r="AE205" i="16"/>
  <c r="AD205" i="16"/>
  <c r="AC205" i="16"/>
  <c r="AE204" i="16"/>
  <c r="AD204" i="16"/>
  <c r="AC204" i="16"/>
  <c r="AE203" i="16"/>
  <c r="AD203" i="16"/>
  <c r="AC203" i="16"/>
  <c r="AE202" i="16"/>
  <c r="AD202" i="16"/>
  <c r="AC202" i="16"/>
  <c r="AE201" i="16"/>
  <c r="AD201" i="16"/>
  <c r="AC201" i="16"/>
  <c r="AE200" i="16"/>
  <c r="AD200" i="16"/>
  <c r="AC200" i="16"/>
  <c r="AE199" i="16"/>
  <c r="AD199" i="16"/>
  <c r="AC199" i="16"/>
  <c r="AE198" i="16"/>
  <c r="AD198" i="16"/>
  <c r="AC198" i="16"/>
  <c r="AE197" i="16"/>
  <c r="AD197" i="16"/>
  <c r="AC197" i="16"/>
  <c r="AE196" i="16"/>
  <c r="AD196" i="16"/>
  <c r="AC196" i="16"/>
  <c r="AE195" i="16"/>
  <c r="AD195" i="16"/>
  <c r="AC195" i="16"/>
  <c r="AE194" i="16"/>
  <c r="AD194" i="16"/>
  <c r="AC194" i="16"/>
  <c r="AE193" i="16"/>
  <c r="AD193" i="16"/>
  <c r="AC193" i="16"/>
  <c r="AE192" i="16"/>
  <c r="AD192" i="16"/>
  <c r="AC192" i="16"/>
  <c r="AE191" i="16"/>
  <c r="AD191" i="16"/>
  <c r="AC191" i="16"/>
  <c r="AE190" i="16"/>
  <c r="AD190" i="16"/>
  <c r="AC190" i="16"/>
  <c r="AE189" i="16"/>
  <c r="AD189" i="16"/>
  <c r="AC189" i="16"/>
  <c r="AG188" i="16"/>
  <c r="AF188" i="16"/>
  <c r="AB188" i="16"/>
  <c r="AG187" i="16"/>
  <c r="AF187" i="16"/>
  <c r="AB187" i="16"/>
  <c r="AG186" i="16"/>
  <c r="AF186" i="16"/>
  <c r="AB186" i="16"/>
  <c r="AG185" i="16"/>
  <c r="AF185" i="16"/>
  <c r="AB185" i="16"/>
  <c r="AG184" i="16"/>
  <c r="AF184" i="16"/>
  <c r="AB184" i="16"/>
  <c r="AG183" i="16"/>
  <c r="AF183" i="16"/>
  <c r="AB183" i="16"/>
  <c r="AG182" i="16"/>
  <c r="AF182" i="16"/>
  <c r="AB182" i="16"/>
  <c r="AG181" i="16"/>
  <c r="AF181" i="16"/>
  <c r="AB181" i="16"/>
  <c r="AG180" i="16"/>
  <c r="AF180" i="16"/>
  <c r="AB180" i="16"/>
  <c r="AG179" i="16"/>
  <c r="AF179" i="16"/>
  <c r="AB179" i="16"/>
  <c r="AG178" i="16"/>
  <c r="AF178" i="16"/>
  <c r="AB178" i="16"/>
  <c r="AG177" i="16"/>
  <c r="AF177" i="16"/>
  <c r="AB177" i="16"/>
  <c r="AE176" i="16"/>
  <c r="AD176" i="16"/>
  <c r="AC176" i="16"/>
  <c r="AE175" i="16"/>
  <c r="AD175" i="16"/>
  <c r="AC175" i="16"/>
  <c r="AE174" i="16"/>
  <c r="AD174" i="16"/>
  <c r="AC174" i="16"/>
  <c r="AE173" i="16"/>
  <c r="AD173" i="16"/>
  <c r="AC173" i="16"/>
  <c r="AE172" i="16"/>
  <c r="AD172" i="16"/>
  <c r="AC172" i="16"/>
  <c r="AE171" i="16"/>
  <c r="AD171" i="16"/>
  <c r="AC171" i="16"/>
  <c r="AE170" i="16"/>
  <c r="AD170" i="16"/>
  <c r="AC170" i="16"/>
  <c r="AE169" i="16"/>
  <c r="AD169" i="16"/>
  <c r="AC169" i="16"/>
  <c r="AE168" i="16"/>
  <c r="AD168" i="16"/>
  <c r="AC168" i="16"/>
  <c r="AE167" i="16"/>
  <c r="AD167" i="16"/>
  <c r="AC167" i="16"/>
  <c r="AE166" i="16"/>
  <c r="AD166" i="16"/>
  <c r="AC166" i="16"/>
  <c r="AE165" i="16"/>
  <c r="AD165" i="16"/>
  <c r="AC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G152" i="16"/>
  <c r="AF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G145" i="16"/>
  <c r="AF145" i="16"/>
  <c r="AG144" i="16"/>
  <c r="AF144" i="16"/>
  <c r="AG143" i="16"/>
  <c r="AF143" i="16"/>
  <c r="AG142" i="16"/>
  <c r="AF142" i="16"/>
  <c r="AG141" i="16"/>
  <c r="AF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G106" i="16"/>
  <c r="AF106" i="16"/>
  <c r="AG105" i="16"/>
  <c r="AF105" i="16"/>
  <c r="AG104" i="16"/>
  <c r="AF104" i="16"/>
  <c r="AG103" i="16"/>
  <c r="AF103" i="16"/>
  <c r="AG102" i="16"/>
  <c r="AF102" i="16"/>
  <c r="AG101" i="16"/>
  <c r="AF101" i="16"/>
  <c r="AG100" i="16"/>
  <c r="AF100" i="16"/>
  <c r="AG99" i="16"/>
  <c r="AF99" i="16"/>
  <c r="AG98" i="16"/>
  <c r="AF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G85" i="16"/>
  <c r="AF85" i="16"/>
  <c r="AG84" i="16"/>
  <c r="AF84" i="16"/>
  <c r="AG83" i="16"/>
  <c r="AF83" i="16"/>
  <c r="AE82" i="16"/>
  <c r="AE81" i="16"/>
  <c r="AE80" i="16"/>
  <c r="AE79" i="16"/>
  <c r="AE78" i="16"/>
  <c r="AE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G38" i="16"/>
  <c r="AF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X548" i="16"/>
  <c r="AD548" i="16" s="1"/>
  <c r="W548" i="16"/>
  <c r="AC548" i="16" s="1"/>
  <c r="V548" i="16"/>
  <c r="AB548" i="16" s="1"/>
  <c r="X547" i="16"/>
  <c r="AD547" i="16" s="1"/>
  <c r="W547" i="16"/>
  <c r="AC547" i="16" s="1"/>
  <c r="V547" i="16"/>
  <c r="AB547" i="16" s="1"/>
  <c r="X546" i="16"/>
  <c r="AD546" i="16" s="1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AO6" i="16" s="1"/>
  <c r="W537" i="16"/>
  <c r="AC537" i="16" s="1"/>
  <c r="V537" i="16"/>
  <c r="AB537" i="16" s="1"/>
  <c r="V536" i="16"/>
  <c r="AB536" i="16" s="1"/>
  <c r="V535" i="16"/>
  <c r="AB535" i="16" s="1"/>
  <c r="V534" i="16"/>
  <c r="AB534" i="16" s="1"/>
  <c r="V533" i="16"/>
  <c r="AB533" i="16" s="1"/>
  <c r="V532" i="16"/>
  <c r="AB532" i="16" s="1"/>
  <c r="V531" i="16"/>
  <c r="AB531" i="16" s="1"/>
  <c r="V530" i="16"/>
  <c r="AB530" i="16" s="1"/>
  <c r="V529" i="16"/>
  <c r="AB529" i="16" s="1"/>
  <c r="V528" i="16"/>
  <c r="AB528" i="16" s="1"/>
  <c r="V527" i="16"/>
  <c r="AB527" i="16" s="1"/>
  <c r="V526" i="16"/>
  <c r="AB526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V226" i="16"/>
  <c r="AB226" i="16" s="1"/>
  <c r="V225" i="16"/>
  <c r="AB225" i="16" s="1"/>
  <c r="V224" i="16"/>
  <c r="AB224" i="16" s="1"/>
  <c r="V223" i="16"/>
  <c r="AB223" i="16" s="1"/>
  <c r="V222" i="16"/>
  <c r="AB222" i="16" s="1"/>
  <c r="V221" i="16"/>
  <c r="AB221" i="16" s="1"/>
  <c r="V220" i="16"/>
  <c r="AB220" i="16" s="1"/>
  <c r="V219" i="16"/>
  <c r="AB219" i="16" s="1"/>
  <c r="V218" i="16"/>
  <c r="AB218" i="16" s="1"/>
  <c r="V217" i="16"/>
  <c r="AB217" i="16" s="1"/>
  <c r="X216" i="16"/>
  <c r="AD216" i="16" s="1"/>
  <c r="W216" i="16"/>
  <c r="AC216" i="16" s="1"/>
  <c r="X215" i="16"/>
  <c r="AD215" i="16" s="1"/>
  <c r="W215" i="16"/>
  <c r="AC215" i="16" s="1"/>
  <c r="X214" i="16"/>
  <c r="AD214" i="16" s="1"/>
  <c r="W214" i="16"/>
  <c r="AC214" i="16" s="1"/>
  <c r="X213" i="16"/>
  <c r="AD213" i="16" s="1"/>
  <c r="W213" i="16"/>
  <c r="AC213" i="16" s="1"/>
  <c r="X212" i="16"/>
  <c r="AD212" i="16" s="1"/>
  <c r="W212" i="16"/>
  <c r="AC212" i="16" s="1"/>
  <c r="X211" i="16"/>
  <c r="AD211" i="16" s="1"/>
  <c r="W211" i="16"/>
  <c r="AC211" i="16" s="1"/>
  <c r="X210" i="16"/>
  <c r="AD210" i="16" s="1"/>
  <c r="W210" i="16"/>
  <c r="AC210" i="16" s="1"/>
  <c r="X209" i="16"/>
  <c r="AD209" i="16" s="1"/>
  <c r="W209" i="16"/>
  <c r="AC209" i="16" s="1"/>
  <c r="X208" i="16"/>
  <c r="AD208" i="16" s="1"/>
  <c r="W208" i="16"/>
  <c r="AC208" i="16" s="1"/>
  <c r="X207" i="16"/>
  <c r="AD207" i="16" s="1"/>
  <c r="W207" i="16"/>
  <c r="AC207" i="16" s="1"/>
  <c r="V206" i="16"/>
  <c r="AB206" i="16" s="1"/>
  <c r="V205" i="16"/>
  <c r="AB205" i="16" s="1"/>
  <c r="V204" i="16"/>
  <c r="AB204" i="16" s="1"/>
  <c r="V203" i="16"/>
  <c r="AB203" i="16" s="1"/>
  <c r="V202" i="16"/>
  <c r="AB202" i="16" s="1"/>
  <c r="V201" i="16"/>
  <c r="AB201" i="16" s="1"/>
  <c r="V200" i="16"/>
  <c r="AB200" i="16" s="1"/>
  <c r="V199" i="16"/>
  <c r="AB199" i="16" s="1"/>
  <c r="V198" i="16"/>
  <c r="AB198" i="16" s="1"/>
  <c r="V197" i="16"/>
  <c r="AB197" i="16" s="1"/>
  <c r="V196" i="16"/>
  <c r="AB196" i="16" s="1"/>
  <c r="V195" i="16"/>
  <c r="AB195" i="16" s="1"/>
  <c r="V194" i="16"/>
  <c r="AB194" i="16" s="1"/>
  <c r="V193" i="16"/>
  <c r="AB193" i="16" s="1"/>
  <c r="V192" i="16"/>
  <c r="AB192" i="16" s="1"/>
  <c r="V191" i="16"/>
  <c r="AB191" i="16" s="1"/>
  <c r="V190" i="16"/>
  <c r="AB190" i="16" s="1"/>
  <c r="V189" i="16"/>
  <c r="AB189" i="16" s="1"/>
  <c r="X188" i="16"/>
  <c r="AD188" i="16" s="1"/>
  <c r="W188" i="16"/>
  <c r="AC188" i="16" s="1"/>
  <c r="X187" i="16"/>
  <c r="AD187" i="16" s="1"/>
  <c r="W187" i="16"/>
  <c r="AC187" i="16" s="1"/>
  <c r="X186" i="16"/>
  <c r="AD186" i="16" s="1"/>
  <c r="W186" i="16"/>
  <c r="AC186" i="16" s="1"/>
  <c r="X185" i="16"/>
  <c r="AD185" i="16" s="1"/>
  <c r="W185" i="16"/>
  <c r="AC185" i="16" s="1"/>
  <c r="X184" i="16"/>
  <c r="AD184" i="16" s="1"/>
  <c r="W184" i="16"/>
  <c r="AC184" i="16" s="1"/>
  <c r="X183" i="16"/>
  <c r="AD183" i="16" s="1"/>
  <c r="W183" i="16"/>
  <c r="AC183" i="16" s="1"/>
  <c r="X182" i="16"/>
  <c r="AD182" i="16" s="1"/>
  <c r="W182" i="16"/>
  <c r="AC182" i="16" s="1"/>
  <c r="X181" i="16"/>
  <c r="AD181" i="16" s="1"/>
  <c r="W181" i="16"/>
  <c r="AC181" i="16" s="1"/>
  <c r="X180" i="16"/>
  <c r="AD180" i="16" s="1"/>
  <c r="W180" i="16"/>
  <c r="AC180" i="16" s="1"/>
  <c r="X179" i="16"/>
  <c r="AD179" i="16" s="1"/>
  <c r="W179" i="16"/>
  <c r="AC179" i="16" s="1"/>
  <c r="X178" i="16"/>
  <c r="AD178" i="16" s="1"/>
  <c r="W178" i="16"/>
  <c r="AC178" i="16" s="1"/>
  <c r="X177" i="16"/>
  <c r="AD177" i="16" s="1"/>
  <c r="W177" i="16"/>
  <c r="AC177" i="16" s="1"/>
  <c r="V176" i="16"/>
  <c r="AB176" i="16" s="1"/>
  <c r="V175" i="16"/>
  <c r="AB175" i="16" s="1"/>
  <c r="V174" i="16"/>
  <c r="AB174" i="16" s="1"/>
  <c r="V173" i="16"/>
  <c r="AB173" i="16" s="1"/>
  <c r="V172" i="16"/>
  <c r="AB172" i="16" s="1"/>
  <c r="V171" i="16"/>
  <c r="AB171" i="16" s="1"/>
  <c r="V170" i="16"/>
  <c r="AB170" i="16" s="1"/>
  <c r="V169" i="16"/>
  <c r="AB169" i="16" s="1"/>
  <c r="V168" i="16"/>
  <c r="AB168" i="16" s="1"/>
  <c r="V167" i="16"/>
  <c r="AB167" i="16" s="1"/>
  <c r="V166" i="16"/>
  <c r="AB166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AA49" i="7"/>
  <c r="Z49" i="7"/>
  <c r="AG48" i="7"/>
  <c r="AA48" i="7"/>
  <c r="Z48" i="7"/>
  <c r="AG47" i="7"/>
  <c r="AA47" i="7"/>
  <c r="Z47" i="7"/>
  <c r="AG46" i="7"/>
  <c r="AA46" i="7"/>
  <c r="Z46" i="7"/>
  <c r="AG45" i="7"/>
  <c r="AA45" i="7"/>
  <c r="Z45" i="7"/>
  <c r="AG44" i="7"/>
  <c r="AA44" i="7"/>
  <c r="Z44" i="7"/>
  <c r="AG43" i="7"/>
  <c r="AA43" i="7"/>
  <c r="Z43" i="7"/>
  <c r="AG42" i="7"/>
  <c r="AA42" i="7"/>
  <c r="Z42" i="7"/>
  <c r="AG41" i="7"/>
  <c r="AA41" i="7"/>
  <c r="Z41" i="7"/>
  <c r="AG40" i="7"/>
  <c r="AA40" i="7"/>
  <c r="Z40" i="7"/>
  <c r="AG39" i="7"/>
  <c r="AA39" i="7"/>
  <c r="Z39" i="7"/>
  <c r="AG38" i="7"/>
  <c r="AA38" i="7"/>
  <c r="Z38" i="7"/>
  <c r="AG37" i="7"/>
  <c r="AA37" i="7"/>
  <c r="Z37" i="7"/>
  <c r="AG36" i="7"/>
  <c r="AA36" i="7"/>
  <c r="Z36" i="7"/>
  <c r="AG35" i="7"/>
  <c r="AA35" i="7"/>
  <c r="Z35" i="7"/>
  <c r="AG34" i="7"/>
  <c r="AA34" i="7"/>
  <c r="Z34" i="7"/>
  <c r="AG33" i="7"/>
  <c r="AA33" i="7"/>
  <c r="Z33" i="7"/>
  <c r="AG32" i="7"/>
  <c r="AA32" i="7"/>
  <c r="Z32" i="7"/>
  <c r="AG31" i="7"/>
  <c r="AA31" i="7"/>
  <c r="Z31" i="7"/>
  <c r="AG30" i="7"/>
  <c r="AA30" i="7"/>
  <c r="Z30" i="7"/>
  <c r="AG29" i="7"/>
  <c r="AA29" i="7"/>
  <c r="Z29" i="7"/>
  <c r="AG28" i="7"/>
  <c r="AA28" i="7"/>
  <c r="Z28" i="7"/>
  <c r="AG27" i="7"/>
  <c r="AA27" i="7"/>
  <c r="Z27" i="7"/>
  <c r="AG26" i="7"/>
  <c r="AA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Z19" i="7"/>
  <c r="AG18" i="7"/>
  <c r="AA18" i="7"/>
  <c r="Z18" i="7"/>
  <c r="AG17" i="7"/>
  <c r="AA17" i="7"/>
  <c r="Z17" i="7"/>
  <c r="AG16" i="7"/>
  <c r="AA16" i="7"/>
  <c r="Z16" i="7"/>
  <c r="AG15" i="7"/>
  <c r="AA15" i="7"/>
  <c r="Z15" i="7"/>
  <c r="AG14" i="7"/>
  <c r="AA14" i="7"/>
  <c r="Z14" i="7"/>
  <c r="AG13" i="7"/>
  <c r="AA13" i="7"/>
  <c r="Z13" i="7"/>
  <c r="AG12" i="7"/>
  <c r="AA12" i="7"/>
  <c r="Z12" i="7"/>
  <c r="AG11" i="7"/>
  <c r="AA11" i="7"/>
  <c r="Z11" i="7"/>
  <c r="AG10" i="7"/>
  <c r="AA10" i="7"/>
  <c r="Z10" i="7"/>
  <c r="AG9" i="7"/>
  <c r="AA9" i="7"/>
  <c r="Z9" i="7"/>
  <c r="AG8" i="7"/>
  <c r="AA8" i="7"/>
  <c r="Z8" i="7"/>
  <c r="AG7" i="7"/>
  <c r="AA7" i="7"/>
  <c r="Z7" i="7"/>
  <c r="AG6" i="7"/>
  <c r="AA6" i="7"/>
  <c r="Z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R11" i="5" s="1"/>
  <c r="P10" i="5"/>
  <c r="R10" i="5" s="1"/>
  <c r="P9" i="5"/>
  <c r="R9" i="5" s="1"/>
  <c r="F44" i="5"/>
  <c r="F45" i="5" s="1"/>
  <c r="E44" i="5"/>
  <c r="D44" i="5"/>
  <c r="F26" i="5"/>
  <c r="E26" i="5"/>
  <c r="D26" i="5"/>
  <c r="AJ56" i="6" s="1"/>
  <c r="F25" i="5"/>
  <c r="E25" i="5"/>
  <c r="D25" i="5"/>
  <c r="AI56" i="6" s="1"/>
  <c r="F24" i="5"/>
  <c r="E24" i="5"/>
  <c r="D24" i="5"/>
  <c r="AH56" i="6" s="1"/>
  <c r="D13" i="5"/>
  <c r="W56" i="6" s="1"/>
  <c r="F39" i="5"/>
  <c r="F41" i="5" s="1"/>
  <c r="F17" i="5"/>
  <c r="F16" i="5"/>
  <c r="F12" i="5"/>
  <c r="V58" i="6" s="1"/>
  <c r="F11" i="5"/>
  <c r="M15" i="5"/>
  <c r="M7" i="5"/>
  <c r="D36" i="5" s="1"/>
  <c r="E45" i="5"/>
  <c r="D45" i="5"/>
  <c r="F43" i="5"/>
  <c r="D43" i="5"/>
  <c r="E41" i="5"/>
  <c r="D41" i="5"/>
  <c r="E28" i="5"/>
  <c r="F23" i="5"/>
  <c r="D23" i="5"/>
  <c r="AG56" i="6" s="1"/>
  <c r="F20" i="5"/>
  <c r="E20" i="5"/>
  <c r="D20" i="5"/>
  <c r="AD56" i="6" s="1"/>
  <c r="E18" i="5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6" i="23" l="1"/>
  <c r="BB58" i="23" s="1"/>
  <c r="I6" i="14"/>
  <c r="I6" i="9"/>
  <c r="I6" i="7"/>
  <c r="I6" i="6"/>
  <c r="I6" i="8"/>
  <c r="I8" i="23"/>
  <c r="I8" i="6"/>
  <c r="I8" i="8"/>
  <c r="I8" i="14"/>
  <c r="I8" i="9"/>
  <c r="I8" i="7"/>
  <c r="I10" i="23"/>
  <c r="BB62" i="23" s="1"/>
  <c r="I10" i="14"/>
  <c r="I10" i="9"/>
  <c r="I10" i="7"/>
  <c r="I10" i="6"/>
  <c r="I10" i="8"/>
  <c r="I13" i="23"/>
  <c r="I13" i="8"/>
  <c r="I13" i="14"/>
  <c r="I13" i="9"/>
  <c r="I13" i="7"/>
  <c r="I13" i="6"/>
  <c r="I16" i="23"/>
  <c r="I16" i="8"/>
  <c r="I16" i="14"/>
  <c r="I16" i="9"/>
  <c r="I16" i="7"/>
  <c r="I16" i="6"/>
  <c r="I17" i="23"/>
  <c r="I17" i="8"/>
  <c r="I17" i="14"/>
  <c r="I17" i="9"/>
  <c r="I17" i="6"/>
  <c r="I17" i="7"/>
  <c r="I20" i="23"/>
  <c r="I20" i="8"/>
  <c r="I20" i="14"/>
  <c r="I20" i="9"/>
  <c r="I20" i="6"/>
  <c r="I20" i="7"/>
  <c r="I22" i="23"/>
  <c r="I22" i="9"/>
  <c r="I22" i="7"/>
  <c r="I22" i="6"/>
  <c r="I22" i="14"/>
  <c r="I22" i="8"/>
  <c r="I25" i="23"/>
  <c r="I25" i="8"/>
  <c r="I25" i="14"/>
  <c r="I25" i="9"/>
  <c r="I25" i="6"/>
  <c r="I25" i="7"/>
  <c r="I27" i="23"/>
  <c r="I27" i="14"/>
  <c r="I27" i="8"/>
  <c r="I27" i="9"/>
  <c r="I27" i="7"/>
  <c r="I27" i="6"/>
  <c r="I29" i="23"/>
  <c r="I29" i="14"/>
  <c r="I29" i="8"/>
  <c r="I29" i="9"/>
  <c r="I29" i="6"/>
  <c r="I29" i="7"/>
  <c r="I32" i="23"/>
  <c r="I32" i="14"/>
  <c r="I32" i="8"/>
  <c r="I32" i="7"/>
  <c r="I32" i="9"/>
  <c r="I32" i="6"/>
  <c r="I33" i="23"/>
  <c r="I33" i="14"/>
  <c r="I33" i="8"/>
  <c r="I33" i="9"/>
  <c r="I33" i="6"/>
  <c r="I33" i="7"/>
  <c r="I35" i="23"/>
  <c r="I35" i="14"/>
  <c r="I35" i="8"/>
  <c r="I35" i="9"/>
  <c r="I35" i="7"/>
  <c r="I35" i="6"/>
  <c r="I37" i="23"/>
  <c r="I37" i="14"/>
  <c r="I37" i="8"/>
  <c r="I37" i="9"/>
  <c r="I37" i="6"/>
  <c r="I37" i="7"/>
  <c r="I39" i="23"/>
  <c r="I39" i="14"/>
  <c r="I39" i="8"/>
  <c r="I39" i="9"/>
  <c r="I39" i="7"/>
  <c r="I39" i="6"/>
  <c r="I42" i="23"/>
  <c r="I42" i="14"/>
  <c r="I42" i="9"/>
  <c r="I42" i="6"/>
  <c r="I42" i="7"/>
  <c r="I42" i="8"/>
  <c r="I44" i="23"/>
  <c r="I44" i="14"/>
  <c r="I44" i="8"/>
  <c r="I44" i="7"/>
  <c r="I44" i="9"/>
  <c r="I44" i="6"/>
  <c r="I47" i="23"/>
  <c r="I47" i="14"/>
  <c r="I47" i="8"/>
  <c r="I47" i="9"/>
  <c r="I47" i="7"/>
  <c r="I47" i="6"/>
  <c r="I49" i="23"/>
  <c r="I49" i="14"/>
  <c r="I49" i="8"/>
  <c r="I49" i="9"/>
  <c r="I49" i="6"/>
  <c r="I49" i="7"/>
  <c r="I51" i="23"/>
  <c r="I51" i="14"/>
  <c r="I51" i="8"/>
  <c r="I51" i="9"/>
  <c r="I51" i="7"/>
  <c r="I51" i="6"/>
  <c r="I7" i="24"/>
  <c r="AH49" i="24" s="1"/>
  <c r="I7" i="12"/>
  <c r="I7" i="11"/>
  <c r="I7" i="10"/>
  <c r="I7" i="13"/>
  <c r="I9" i="24"/>
  <c r="I9" i="13"/>
  <c r="I9" i="12"/>
  <c r="I9" i="11"/>
  <c r="I9" i="10"/>
  <c r="I11" i="24"/>
  <c r="I11" i="12"/>
  <c r="I11" i="11"/>
  <c r="I11" i="10"/>
  <c r="I11" i="13"/>
  <c r="I13" i="24"/>
  <c r="AH55" i="24" s="1"/>
  <c r="I13" i="13"/>
  <c r="I13" i="12"/>
  <c r="I13" i="11"/>
  <c r="I13" i="10"/>
  <c r="I15" i="24"/>
  <c r="I15" i="12"/>
  <c r="I15" i="11"/>
  <c r="I15" i="10"/>
  <c r="I15" i="13"/>
  <c r="I17" i="24"/>
  <c r="I17" i="13"/>
  <c r="I17" i="12"/>
  <c r="I17" i="11"/>
  <c r="I17" i="10"/>
  <c r="I19" i="24"/>
  <c r="I19" i="12"/>
  <c r="I19" i="11"/>
  <c r="I19" i="10"/>
  <c r="I19" i="13"/>
  <c r="I21" i="24"/>
  <c r="X63" i="24" s="1"/>
  <c r="I21" i="13"/>
  <c r="I21" i="12"/>
  <c r="I21" i="11"/>
  <c r="I21" i="10"/>
  <c r="I23" i="24"/>
  <c r="I23" i="12"/>
  <c r="I23" i="11"/>
  <c r="I23" i="10"/>
  <c r="I23" i="13"/>
  <c r="I25" i="24"/>
  <c r="I25" i="13"/>
  <c r="I25" i="12"/>
  <c r="I25" i="11"/>
  <c r="I25" i="10"/>
  <c r="I27" i="24"/>
  <c r="I27" i="12"/>
  <c r="I27" i="11"/>
  <c r="I27" i="10"/>
  <c r="I27" i="13"/>
  <c r="I29" i="24"/>
  <c r="I29" i="13"/>
  <c r="I29" i="12"/>
  <c r="I29" i="11"/>
  <c r="I29" i="10"/>
  <c r="I32" i="24"/>
  <c r="I32" i="12"/>
  <c r="I32" i="11"/>
  <c r="I32" i="10"/>
  <c r="I32" i="13"/>
  <c r="I34" i="24"/>
  <c r="I34" i="12"/>
  <c r="I34" i="11"/>
  <c r="I34" i="10"/>
  <c r="I34" i="13"/>
  <c r="I36" i="24"/>
  <c r="I36" i="12"/>
  <c r="I36" i="11"/>
  <c r="I36" i="10"/>
  <c r="I36" i="13"/>
  <c r="I37" i="24"/>
  <c r="I37" i="13"/>
  <c r="I37" i="12"/>
  <c r="I37" i="11"/>
  <c r="I37" i="10"/>
  <c r="I38" i="24"/>
  <c r="I38" i="12"/>
  <c r="I38" i="11"/>
  <c r="I38" i="10"/>
  <c r="I38" i="13"/>
  <c r="I39" i="24"/>
  <c r="I39" i="12"/>
  <c r="I39" i="11"/>
  <c r="I39" i="10"/>
  <c r="I39" i="13"/>
  <c r="I41" i="24"/>
  <c r="I41" i="13"/>
  <c r="I41" i="12"/>
  <c r="I41" i="11"/>
  <c r="I41" i="10"/>
  <c r="I5" i="23"/>
  <c r="BB57" i="23" s="1"/>
  <c r="I5" i="8"/>
  <c r="I5" i="14"/>
  <c r="I5" i="9"/>
  <c r="I5" i="7"/>
  <c r="P12" i="5"/>
  <c r="I5" i="6"/>
  <c r="I7" i="23"/>
  <c r="BD59" i="23" s="1"/>
  <c r="I7" i="7"/>
  <c r="I7" i="6"/>
  <c r="P13" i="5"/>
  <c r="I7" i="8"/>
  <c r="I7" i="14"/>
  <c r="I7" i="9"/>
  <c r="I9" i="23"/>
  <c r="I9" i="8"/>
  <c r="I9" i="14"/>
  <c r="I9" i="9"/>
  <c r="I9" i="7"/>
  <c r="I9" i="6"/>
  <c r="I11" i="23"/>
  <c r="AY63" i="23" s="1"/>
  <c r="I11" i="7"/>
  <c r="I11" i="6"/>
  <c r="I11" i="8"/>
  <c r="I11" i="14"/>
  <c r="I11" i="9"/>
  <c r="I12" i="23"/>
  <c r="I12" i="6"/>
  <c r="I12" i="8"/>
  <c r="I12" i="14"/>
  <c r="I12" i="9"/>
  <c r="I12" i="7"/>
  <c r="I14" i="23"/>
  <c r="I14" i="14"/>
  <c r="I14" i="9"/>
  <c r="I14" i="7"/>
  <c r="I14" i="6"/>
  <c r="I14" i="8"/>
  <c r="I15" i="23"/>
  <c r="I15" i="7"/>
  <c r="I15" i="6"/>
  <c r="I15" i="8"/>
  <c r="I15" i="14"/>
  <c r="I15" i="9"/>
  <c r="I18" i="23"/>
  <c r="I18" i="14"/>
  <c r="I18" i="9"/>
  <c r="I18" i="6"/>
  <c r="I18" i="7"/>
  <c r="I18" i="8"/>
  <c r="I19" i="23"/>
  <c r="I19" i="7"/>
  <c r="I19" i="8"/>
  <c r="I19" i="14"/>
  <c r="I19" i="9"/>
  <c r="I19" i="6"/>
  <c r="I21" i="23"/>
  <c r="I21" i="8"/>
  <c r="I21" i="14"/>
  <c r="I21" i="9"/>
  <c r="I21" i="6"/>
  <c r="I21" i="7"/>
  <c r="I23" i="23"/>
  <c r="I23" i="14"/>
  <c r="I23" i="8"/>
  <c r="I23" i="7"/>
  <c r="I23" i="9"/>
  <c r="I23" i="6"/>
  <c r="I24" i="23"/>
  <c r="I24" i="7"/>
  <c r="I24" i="14"/>
  <c r="I24" i="8"/>
  <c r="I24" i="9"/>
  <c r="I24" i="6"/>
  <c r="I26" i="23"/>
  <c r="I26" i="14"/>
  <c r="I26" i="9"/>
  <c r="I26" i="6"/>
  <c r="I26" i="7"/>
  <c r="I26" i="8"/>
  <c r="I28" i="23"/>
  <c r="I28" i="14"/>
  <c r="I28" i="8"/>
  <c r="I28" i="7"/>
  <c r="I28" i="9"/>
  <c r="I28" i="6"/>
  <c r="I30" i="23"/>
  <c r="I30" i="14"/>
  <c r="I30" i="9"/>
  <c r="I30" i="6"/>
  <c r="I30" i="7"/>
  <c r="I30" i="8"/>
  <c r="I31" i="23"/>
  <c r="I31" i="14"/>
  <c r="I31" i="8"/>
  <c r="I31" i="9"/>
  <c r="I31" i="7"/>
  <c r="I31" i="6"/>
  <c r="I34" i="23"/>
  <c r="I34" i="14"/>
  <c r="I34" i="9"/>
  <c r="I34" i="6"/>
  <c r="I34" i="7"/>
  <c r="I34" i="8"/>
  <c r="I36" i="23"/>
  <c r="I36" i="14"/>
  <c r="I36" i="8"/>
  <c r="I36" i="7"/>
  <c r="I36" i="9"/>
  <c r="I36" i="6"/>
  <c r="I38" i="23"/>
  <c r="I38" i="14"/>
  <c r="I38" i="9"/>
  <c r="I38" i="6"/>
  <c r="I38" i="7"/>
  <c r="I38" i="8"/>
  <c r="I40" i="23"/>
  <c r="I40" i="14"/>
  <c r="I40" i="8"/>
  <c r="I40" i="7"/>
  <c r="I40" i="9"/>
  <c r="I40" i="6"/>
  <c r="I41" i="23"/>
  <c r="I41" i="14"/>
  <c r="I41" i="8"/>
  <c r="I41" i="9"/>
  <c r="I41" i="6"/>
  <c r="I41" i="7"/>
  <c r="I43" i="23"/>
  <c r="I43" i="14"/>
  <c r="I43" i="8"/>
  <c r="I43" i="9"/>
  <c r="I43" i="7"/>
  <c r="I43" i="6"/>
  <c r="I45" i="23"/>
  <c r="I45" i="14"/>
  <c r="I45" i="8"/>
  <c r="I45" i="9"/>
  <c r="I45" i="6"/>
  <c r="I45" i="7"/>
  <c r="I46" i="23"/>
  <c r="I46" i="14"/>
  <c r="I46" i="9"/>
  <c r="I46" i="6"/>
  <c r="I46" i="7"/>
  <c r="I46" i="8"/>
  <c r="I48" i="23"/>
  <c r="I48" i="14"/>
  <c r="I48" i="8"/>
  <c r="I48" i="7"/>
  <c r="I48" i="9"/>
  <c r="I48" i="6"/>
  <c r="I50" i="23"/>
  <c r="I50" i="14"/>
  <c r="I50" i="9"/>
  <c r="I50" i="6"/>
  <c r="I50" i="7"/>
  <c r="M69" i="6" s="1"/>
  <c r="I50" i="8"/>
  <c r="I5" i="24"/>
  <c r="I5" i="13"/>
  <c r="P14" i="5"/>
  <c r="P17" i="5" s="1"/>
  <c r="I5" i="12"/>
  <c r="I5" i="11"/>
  <c r="I5" i="10"/>
  <c r="I6" i="24"/>
  <c r="AF48" i="24" s="1"/>
  <c r="I6" i="12"/>
  <c r="I6" i="11"/>
  <c r="I6" i="10"/>
  <c r="I6" i="13"/>
  <c r="I8" i="24"/>
  <c r="AF50" i="24" s="1"/>
  <c r="I8" i="12"/>
  <c r="I8" i="11"/>
  <c r="I8" i="10"/>
  <c r="I8" i="13"/>
  <c r="I10" i="24"/>
  <c r="I10" i="12"/>
  <c r="I10" i="11"/>
  <c r="I10" i="10"/>
  <c r="I10" i="13"/>
  <c r="I12" i="24"/>
  <c r="AG54" i="24" s="1"/>
  <c r="I12" i="12"/>
  <c r="I12" i="11"/>
  <c r="I12" i="10"/>
  <c r="I12" i="13"/>
  <c r="I14" i="24"/>
  <c r="AH56" i="24" s="1"/>
  <c r="I14" i="12"/>
  <c r="I14" i="11"/>
  <c r="I14" i="10"/>
  <c r="I14" i="13"/>
  <c r="I16" i="24"/>
  <c r="AD58" i="24" s="1"/>
  <c r="I16" i="12"/>
  <c r="I16" i="11"/>
  <c r="I16" i="10"/>
  <c r="I16" i="13"/>
  <c r="I18" i="24"/>
  <c r="I18" i="12"/>
  <c r="I18" i="11"/>
  <c r="I18" i="10"/>
  <c r="I18" i="13"/>
  <c r="I20" i="24"/>
  <c r="AC62" i="24" s="1"/>
  <c r="I20" i="12"/>
  <c r="I20" i="11"/>
  <c r="I20" i="10"/>
  <c r="I20" i="13"/>
  <c r="I22" i="24"/>
  <c r="AH64" i="24" s="1"/>
  <c r="I22" i="12"/>
  <c r="I22" i="11"/>
  <c r="I22" i="10"/>
  <c r="I22" i="13"/>
  <c r="I24" i="24"/>
  <c r="I24" i="12"/>
  <c r="I24" i="11"/>
  <c r="I24" i="10"/>
  <c r="I24" i="13"/>
  <c r="I26" i="24"/>
  <c r="I26" i="12"/>
  <c r="I26" i="11"/>
  <c r="I26" i="10"/>
  <c r="I26" i="13"/>
  <c r="I28" i="24"/>
  <c r="I28" i="12"/>
  <c r="I28" i="11"/>
  <c r="I28" i="10"/>
  <c r="I28" i="13"/>
  <c r="I30" i="24"/>
  <c r="I30" i="12"/>
  <c r="I30" i="11"/>
  <c r="I30" i="10"/>
  <c r="I30" i="13"/>
  <c r="I31" i="24"/>
  <c r="I31" i="12"/>
  <c r="I31" i="11"/>
  <c r="I31" i="10"/>
  <c r="I31" i="13"/>
  <c r="I33" i="24"/>
  <c r="I33" i="13"/>
  <c r="I33" i="12"/>
  <c r="I33" i="11"/>
  <c r="I33" i="10"/>
  <c r="I35" i="24"/>
  <c r="I35" i="12"/>
  <c r="I35" i="11"/>
  <c r="I35" i="10"/>
  <c r="I35" i="13"/>
  <c r="I40" i="24"/>
  <c r="I40" i="12"/>
  <c r="I40" i="11"/>
  <c r="I40" i="10"/>
  <c r="I40" i="13"/>
  <c r="AO3" i="16"/>
  <c r="AT5" i="16"/>
  <c r="AT6" i="16"/>
  <c r="AJ6" i="16"/>
  <c r="AT4" i="16"/>
  <c r="AJ4" i="16"/>
  <c r="AM57" i="7"/>
  <c r="AT2" i="16"/>
  <c r="AJ3" i="16"/>
  <c r="AT3" i="16"/>
  <c r="AO4" i="16"/>
  <c r="AO5" i="16"/>
  <c r="AO2" i="16"/>
  <c r="AO7" i="16" s="1"/>
  <c r="AJ2" i="16"/>
  <c r="AJ7" i="16" s="1"/>
  <c r="AA11" i="21"/>
  <c r="AA10" i="21"/>
  <c r="AA9" i="21"/>
  <c r="AC14" i="17"/>
  <c r="AC16" i="17"/>
  <c r="AC18" i="17"/>
  <c r="AC20" i="17"/>
  <c r="AC22" i="17"/>
  <c r="AC24" i="17"/>
  <c r="AC45" i="17"/>
  <c r="AC47" i="17"/>
  <c r="AC49" i="17"/>
  <c r="AC51" i="17"/>
  <c r="AC53" i="17"/>
  <c r="AC70" i="17"/>
  <c r="AC102" i="17"/>
  <c r="AC65" i="17"/>
  <c r="AC69" i="17"/>
  <c r="AC73" i="17"/>
  <c r="AC77" i="17"/>
  <c r="AC81" i="17"/>
  <c r="AC85" i="17"/>
  <c r="AC89" i="17"/>
  <c r="AC93" i="17"/>
  <c r="AC97" i="17"/>
  <c r="AC101" i="17"/>
  <c r="AC105" i="17"/>
  <c r="AC109" i="17"/>
  <c r="AC113" i="17"/>
  <c r="AD10" i="21"/>
  <c r="AD9" i="21"/>
  <c r="R9" i="21"/>
  <c r="R11" i="21"/>
  <c r="Y3" i="21"/>
  <c r="AG3" i="21" s="1"/>
  <c r="AJ3" i="21"/>
  <c r="AJ4" i="21"/>
  <c r="Y6" i="21"/>
  <c r="AG6" i="21" s="1"/>
  <c r="X3" i="21"/>
  <c r="AI3" i="21"/>
  <c r="AI4" i="21"/>
  <c r="AI5" i="21"/>
  <c r="Y8" i="21"/>
  <c r="AG8" i="21" s="1"/>
  <c r="AJ8" i="21"/>
  <c r="Z5" i="21"/>
  <c r="AH5" i="21" s="1"/>
  <c r="BD60" i="23"/>
  <c r="AZ60" i="23"/>
  <c r="AV60" i="23"/>
  <c r="AR60" i="23"/>
  <c r="AN60" i="23"/>
  <c r="AJ60" i="23"/>
  <c r="BD64" i="23"/>
  <c r="AN64" i="23"/>
  <c r="AX64" i="23"/>
  <c r="BA64" i="23"/>
  <c r="AK64" i="23"/>
  <c r="BD68" i="23"/>
  <c r="AZ68" i="23"/>
  <c r="AV68" i="23"/>
  <c r="AR68" i="23"/>
  <c r="AN68" i="23"/>
  <c r="AJ68" i="23"/>
  <c r="BC68" i="23"/>
  <c r="AY68" i="23"/>
  <c r="AU68" i="23"/>
  <c r="AQ68" i="23"/>
  <c r="AM68" i="23"/>
  <c r="AI68" i="23"/>
  <c r="BB68" i="23"/>
  <c r="AX68" i="23"/>
  <c r="AT68" i="23"/>
  <c r="AP68" i="23"/>
  <c r="AL68" i="23"/>
  <c r="BA68" i="23"/>
  <c r="AW68" i="23"/>
  <c r="AS68" i="23"/>
  <c r="AO68" i="23"/>
  <c r="AK68" i="23"/>
  <c r="BD72" i="23"/>
  <c r="AZ72" i="23"/>
  <c r="AV72" i="23"/>
  <c r="AR72" i="23"/>
  <c r="AN72" i="23"/>
  <c r="AJ72" i="23"/>
  <c r="BC72" i="23"/>
  <c r="AY72" i="23"/>
  <c r="AU72" i="23"/>
  <c r="AQ72" i="23"/>
  <c r="AM72" i="23"/>
  <c r="AI72" i="23"/>
  <c r="BB72" i="23"/>
  <c r="AX72" i="23"/>
  <c r="AT72" i="23"/>
  <c r="AP72" i="23"/>
  <c r="AL72" i="23"/>
  <c r="BA72" i="23"/>
  <c r="AW72" i="23"/>
  <c r="AS72" i="23"/>
  <c r="AO72" i="23"/>
  <c r="AK72" i="23"/>
  <c r="BB76" i="23"/>
  <c r="AX76" i="23"/>
  <c r="AT76" i="23"/>
  <c r="AP76" i="23"/>
  <c r="BA76" i="23"/>
  <c r="AW76" i="23"/>
  <c r="AS76" i="23"/>
  <c r="AO76" i="23"/>
  <c r="AK76" i="23"/>
  <c r="P76" i="23"/>
  <c r="BD76" i="23"/>
  <c r="AZ76" i="23"/>
  <c r="AV76" i="23"/>
  <c r="AR76" i="23"/>
  <c r="BC76" i="23"/>
  <c r="AY76" i="23"/>
  <c r="AU76" i="23"/>
  <c r="AQ76" i="23"/>
  <c r="AM76" i="23"/>
  <c r="AI76" i="23"/>
  <c r="R76" i="23"/>
  <c r="AL76" i="23"/>
  <c r="AJ76" i="23"/>
  <c r="AN76" i="23"/>
  <c r="BB80" i="23"/>
  <c r="AX80" i="23"/>
  <c r="AT80" i="23"/>
  <c r="AP80" i="23"/>
  <c r="AL80" i="23"/>
  <c r="BA80" i="23"/>
  <c r="AW80" i="23"/>
  <c r="AS80" i="23"/>
  <c r="AO80" i="23"/>
  <c r="AK80" i="23"/>
  <c r="P80" i="23"/>
  <c r="BD80" i="23"/>
  <c r="AZ80" i="23"/>
  <c r="AV80" i="23"/>
  <c r="AR80" i="23"/>
  <c r="AN80" i="23"/>
  <c r="AJ80" i="23"/>
  <c r="BC80" i="23"/>
  <c r="AY80" i="23"/>
  <c r="AU80" i="23"/>
  <c r="AQ80" i="23"/>
  <c r="AM80" i="23"/>
  <c r="AI80" i="23"/>
  <c r="R80" i="23"/>
  <c r="BB84" i="23"/>
  <c r="AX84" i="23"/>
  <c r="AT84" i="23"/>
  <c r="AP84" i="23"/>
  <c r="AL84" i="23"/>
  <c r="BA84" i="23"/>
  <c r="AW84" i="23"/>
  <c r="AS84" i="23"/>
  <c r="AO84" i="23"/>
  <c r="AK84" i="23"/>
  <c r="BD84" i="23"/>
  <c r="AZ84" i="23"/>
  <c r="AV84" i="23"/>
  <c r="AR84" i="23"/>
  <c r="AN84" i="23"/>
  <c r="AJ84" i="23"/>
  <c r="BC84" i="23"/>
  <c r="AY84" i="23"/>
  <c r="AU84" i="23"/>
  <c r="AQ84" i="23"/>
  <c r="AM84" i="23"/>
  <c r="AI84" i="23"/>
  <c r="BC88" i="23"/>
  <c r="AY88" i="23"/>
  <c r="AU88" i="23"/>
  <c r="AQ88" i="23"/>
  <c r="AM88" i="23"/>
  <c r="AI88" i="23"/>
  <c r="BB88" i="23"/>
  <c r="AX88" i="23"/>
  <c r="AT88" i="23"/>
  <c r="AP88" i="23"/>
  <c r="AL88" i="23"/>
  <c r="BD88" i="23"/>
  <c r="AV88" i="23"/>
  <c r="AN88" i="23"/>
  <c r="BA88" i="23"/>
  <c r="AS88" i="23"/>
  <c r="AK88" i="23"/>
  <c r="AZ88" i="23"/>
  <c r="AR88" i="23"/>
  <c r="AJ88" i="23"/>
  <c r="AW88" i="23"/>
  <c r="AO88" i="23"/>
  <c r="BA92" i="23"/>
  <c r="AW92" i="23"/>
  <c r="AS92" i="23"/>
  <c r="AO92" i="23"/>
  <c r="AK92" i="23"/>
  <c r="BD92" i="23"/>
  <c r="AZ92" i="23"/>
  <c r="AV92" i="23"/>
  <c r="AR92" i="23"/>
  <c r="AN92" i="23"/>
  <c r="AJ92" i="23"/>
  <c r="BC92" i="23"/>
  <c r="AY92" i="23"/>
  <c r="AU92" i="23"/>
  <c r="AQ92" i="23"/>
  <c r="AM92" i="23"/>
  <c r="AI92" i="23"/>
  <c r="BB92" i="23"/>
  <c r="AX92" i="23"/>
  <c r="AT92" i="23"/>
  <c r="AP92" i="23"/>
  <c r="AL92" i="23"/>
  <c r="BA96" i="23"/>
  <c r="AW96" i="23"/>
  <c r="AS96" i="23"/>
  <c r="AO96" i="23"/>
  <c r="AK96" i="23"/>
  <c r="BD96" i="23"/>
  <c r="AZ96" i="23"/>
  <c r="AV96" i="23"/>
  <c r="AR96" i="23"/>
  <c r="AN96" i="23"/>
  <c r="AJ96" i="23"/>
  <c r="BC96" i="23"/>
  <c r="AY96" i="23"/>
  <c r="AU96" i="23"/>
  <c r="AQ96" i="23"/>
  <c r="AM96" i="23"/>
  <c r="AI96" i="23"/>
  <c r="BB96" i="23"/>
  <c r="AX96" i="23"/>
  <c r="AT96" i="23"/>
  <c r="AP96" i="23"/>
  <c r="AL96" i="23"/>
  <c r="AO100" i="23"/>
  <c r="AV100" i="23"/>
  <c r="AQ100" i="23"/>
  <c r="AX100" i="23"/>
  <c r="AI57" i="23"/>
  <c r="AM57" i="23"/>
  <c r="AQ57" i="23"/>
  <c r="AU57" i="23"/>
  <c r="AY57" i="23"/>
  <c r="BC57" i="23"/>
  <c r="AI58" i="23"/>
  <c r="AM58" i="23"/>
  <c r="AQ58" i="23"/>
  <c r="AU58" i="23"/>
  <c r="AY58" i="23"/>
  <c r="BC58" i="23"/>
  <c r="AI59" i="23"/>
  <c r="AM59" i="23"/>
  <c r="AQ59" i="23"/>
  <c r="AU59" i="23"/>
  <c r="AY59" i="23"/>
  <c r="BC59" i="23"/>
  <c r="AL60" i="23"/>
  <c r="AQ60" i="23"/>
  <c r="AW60" i="23"/>
  <c r="BB60" i="23"/>
  <c r="AK61" i="23"/>
  <c r="AI62" i="23"/>
  <c r="AQ62" i="23"/>
  <c r="AY62" i="23"/>
  <c r="AM63" i="23"/>
  <c r="AU63" i="23"/>
  <c r="AZ61" i="23"/>
  <c r="AJ61" i="23"/>
  <c r="BD65" i="23"/>
  <c r="AZ65" i="23"/>
  <c r="AV65" i="23"/>
  <c r="AR65" i="23"/>
  <c r="AN65" i="23"/>
  <c r="AJ65" i="23"/>
  <c r="BC65" i="23"/>
  <c r="AY65" i="23"/>
  <c r="AU65" i="23"/>
  <c r="AQ65" i="23"/>
  <c r="AM65" i="23"/>
  <c r="AI65" i="23"/>
  <c r="BB65" i="23"/>
  <c r="AX65" i="23"/>
  <c r="AT65" i="23"/>
  <c r="AP65" i="23"/>
  <c r="AL65" i="23"/>
  <c r="BA65" i="23"/>
  <c r="AW65" i="23"/>
  <c r="AS65" i="23"/>
  <c r="AO65" i="23"/>
  <c r="AK65" i="23"/>
  <c r="BD69" i="23"/>
  <c r="AZ69" i="23"/>
  <c r="AV69" i="23"/>
  <c r="AR69" i="23"/>
  <c r="AN69" i="23"/>
  <c r="AJ69" i="23"/>
  <c r="BC69" i="23"/>
  <c r="AY69" i="23"/>
  <c r="AU69" i="23"/>
  <c r="AQ69" i="23"/>
  <c r="AM69" i="23"/>
  <c r="AI69" i="23"/>
  <c r="BB69" i="23"/>
  <c r="AX69" i="23"/>
  <c r="AT69" i="23"/>
  <c r="AP69" i="23"/>
  <c r="AL69" i="23"/>
  <c r="BA69" i="23"/>
  <c r="AW69" i="23"/>
  <c r="AS69" i="23"/>
  <c r="AO69" i="23"/>
  <c r="AK69" i="23"/>
  <c r="BA73" i="23"/>
  <c r="AW73" i="23"/>
  <c r="AS73" i="23"/>
  <c r="AO73" i="23"/>
  <c r="BD73" i="23"/>
  <c r="AY73" i="23"/>
  <c r="AT73" i="23"/>
  <c r="AN73" i="23"/>
  <c r="AJ73" i="23"/>
  <c r="BC73" i="23"/>
  <c r="AX73" i="23"/>
  <c r="AR73" i="23"/>
  <c r="AM73" i="23"/>
  <c r="AI73" i="23"/>
  <c r="R73" i="23"/>
  <c r="BB73" i="23"/>
  <c r="AV73" i="23"/>
  <c r="AQ73" i="23"/>
  <c r="AL73" i="23"/>
  <c r="AZ73" i="23"/>
  <c r="AU73" i="23"/>
  <c r="AP73" i="23"/>
  <c r="AK73" i="23"/>
  <c r="P73" i="23"/>
  <c r="BB77" i="23"/>
  <c r="AX77" i="23"/>
  <c r="AT77" i="23"/>
  <c r="AP77" i="23"/>
  <c r="AL77" i="23"/>
  <c r="BA77" i="23"/>
  <c r="AW77" i="23"/>
  <c r="AS77" i="23"/>
  <c r="AO77" i="23"/>
  <c r="AK77" i="23"/>
  <c r="BD77" i="23"/>
  <c r="AZ77" i="23"/>
  <c r="AV77" i="23"/>
  <c r="AR77" i="23"/>
  <c r="AN77" i="23"/>
  <c r="AJ77" i="23"/>
  <c r="BC77" i="23"/>
  <c r="AY77" i="23"/>
  <c r="AU77" i="23"/>
  <c r="AQ77" i="23"/>
  <c r="AM77" i="23"/>
  <c r="AI77" i="23"/>
  <c r="BB81" i="23"/>
  <c r="AX81" i="23"/>
  <c r="AT81" i="23"/>
  <c r="AP81" i="23"/>
  <c r="AL81" i="23"/>
  <c r="BA81" i="23"/>
  <c r="AW81" i="23"/>
  <c r="AS81" i="23"/>
  <c r="AO81" i="23"/>
  <c r="AK81" i="23"/>
  <c r="P81" i="23"/>
  <c r="BD81" i="23"/>
  <c r="AZ81" i="23"/>
  <c r="AV81" i="23"/>
  <c r="AR81" i="23"/>
  <c r="AN81" i="23"/>
  <c r="AJ81" i="23"/>
  <c r="BC81" i="23"/>
  <c r="AY81" i="23"/>
  <c r="AU81" i="23"/>
  <c r="AQ81" i="23"/>
  <c r="AM81" i="23"/>
  <c r="AI81" i="23"/>
  <c r="R81" i="23"/>
  <c r="BB85" i="23"/>
  <c r="AX85" i="23"/>
  <c r="AT85" i="23"/>
  <c r="AP85" i="23"/>
  <c r="AL85" i="23"/>
  <c r="BA85" i="23"/>
  <c r="AW85" i="23"/>
  <c r="AS85" i="23"/>
  <c r="AO85" i="23"/>
  <c r="AK85" i="23"/>
  <c r="BD85" i="23"/>
  <c r="AZ85" i="23"/>
  <c r="AV85" i="23"/>
  <c r="AR85" i="23"/>
  <c r="AN85" i="23"/>
  <c r="AJ85" i="23"/>
  <c r="BC85" i="23"/>
  <c r="AY85" i="23"/>
  <c r="AU85" i="23"/>
  <c r="AQ85" i="23"/>
  <c r="AM85" i="23"/>
  <c r="AI85" i="23"/>
  <c r="BA89" i="23"/>
  <c r="AW89" i="23"/>
  <c r="BC89" i="23"/>
  <c r="AY89" i="23"/>
  <c r="AU89" i="23"/>
  <c r="AQ89" i="23"/>
  <c r="AM89" i="23"/>
  <c r="AI89" i="23"/>
  <c r="BB89" i="23"/>
  <c r="AX89" i="23"/>
  <c r="AT89" i="23"/>
  <c r="AP89" i="23"/>
  <c r="AL89" i="23"/>
  <c r="BD89" i="23"/>
  <c r="AR89" i="23"/>
  <c r="AJ89" i="23"/>
  <c r="AZ89" i="23"/>
  <c r="AO89" i="23"/>
  <c r="AV89" i="23"/>
  <c r="AN89" i="23"/>
  <c r="AS89" i="23"/>
  <c r="AK89" i="23"/>
  <c r="AS93" i="23"/>
  <c r="AZ93" i="23"/>
  <c r="AJ93" i="23"/>
  <c r="AU93" i="23"/>
  <c r="BB93" i="23"/>
  <c r="AL93" i="23"/>
  <c r="AO97" i="23"/>
  <c r="AV97" i="23"/>
  <c r="AQ97" i="23"/>
  <c r="AX97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AJ57" i="23"/>
  <c r="AN57" i="23"/>
  <c r="AR57" i="23"/>
  <c r="AV57" i="23"/>
  <c r="AZ57" i="23"/>
  <c r="BD57" i="23"/>
  <c r="AJ58" i="23"/>
  <c r="AN58" i="23"/>
  <c r="AR58" i="23"/>
  <c r="AV58" i="23"/>
  <c r="AZ58" i="23"/>
  <c r="BD58" i="23"/>
  <c r="AJ59" i="23"/>
  <c r="AN59" i="23"/>
  <c r="AR59" i="23"/>
  <c r="AV59" i="23"/>
  <c r="AZ59" i="23"/>
  <c r="AM60" i="23"/>
  <c r="AS60" i="23"/>
  <c r="AX60" i="23"/>
  <c r="BC60" i="23"/>
  <c r="BB61" i="23"/>
  <c r="AL62" i="23"/>
  <c r="AT62" i="23"/>
  <c r="AP63" i="23"/>
  <c r="AX63" i="23"/>
  <c r="BD62" i="23"/>
  <c r="AZ62" i="23"/>
  <c r="AV62" i="23"/>
  <c r="AR62" i="23"/>
  <c r="AN62" i="23"/>
  <c r="AJ62" i="23"/>
  <c r="BA62" i="23"/>
  <c r="AW62" i="23"/>
  <c r="AS62" i="23"/>
  <c r="AO62" i="23"/>
  <c r="AK62" i="23"/>
  <c r="BD66" i="23"/>
  <c r="AZ66" i="23"/>
  <c r="AV66" i="23"/>
  <c r="AR66" i="23"/>
  <c r="AN66" i="23"/>
  <c r="AJ66" i="23"/>
  <c r="BC66" i="23"/>
  <c r="AY66" i="23"/>
  <c r="AU66" i="23"/>
  <c r="AQ66" i="23"/>
  <c r="AM66" i="23"/>
  <c r="AI66" i="23"/>
  <c r="BB66" i="23"/>
  <c r="AX66" i="23"/>
  <c r="AT66" i="23"/>
  <c r="AP66" i="23"/>
  <c r="AL66" i="23"/>
  <c r="BA66" i="23"/>
  <c r="AW66" i="23"/>
  <c r="AS66" i="23"/>
  <c r="AO66" i="23"/>
  <c r="AK66" i="23"/>
  <c r="BD70" i="23"/>
  <c r="AZ70" i="23"/>
  <c r="AV70" i="23"/>
  <c r="AR70" i="23"/>
  <c r="AN70" i="23"/>
  <c r="AJ70" i="23"/>
  <c r="BC70" i="23"/>
  <c r="AY70" i="23"/>
  <c r="AU70" i="23"/>
  <c r="AQ70" i="23"/>
  <c r="AM70" i="23"/>
  <c r="AI70" i="23"/>
  <c r="BB70" i="23"/>
  <c r="AX70" i="23"/>
  <c r="AT70" i="23"/>
  <c r="AP70" i="23"/>
  <c r="AL70" i="23"/>
  <c r="BA70" i="23"/>
  <c r="AW70" i="23"/>
  <c r="AS70" i="23"/>
  <c r="AO70" i="23"/>
  <c r="AK70" i="23"/>
  <c r="BA74" i="23"/>
  <c r="AW74" i="23"/>
  <c r="AS74" i="23"/>
  <c r="AO74" i="23"/>
  <c r="AK74" i="23"/>
  <c r="P74" i="23"/>
  <c r="BC74" i="23"/>
  <c r="AY74" i="23"/>
  <c r="AU74" i="23"/>
  <c r="AQ74" i="23"/>
  <c r="BB74" i="23"/>
  <c r="AT74" i="23"/>
  <c r="AM74" i="23"/>
  <c r="AZ74" i="23"/>
  <c r="AR74" i="23"/>
  <c r="AL74" i="23"/>
  <c r="AX74" i="23"/>
  <c r="AP74" i="23"/>
  <c r="AJ74" i="23"/>
  <c r="BD74" i="23"/>
  <c r="AV74" i="23"/>
  <c r="AN74" i="23"/>
  <c r="AI74" i="23"/>
  <c r="R74" i="23"/>
  <c r="AT78" i="23"/>
  <c r="AW78" i="23"/>
  <c r="BD78" i="23"/>
  <c r="AN78" i="23"/>
  <c r="AY78" i="23"/>
  <c r="AI78" i="23"/>
  <c r="R78" i="23"/>
  <c r="AP82" i="23"/>
  <c r="AS82" i="23"/>
  <c r="AZ82" i="23"/>
  <c r="AJ82" i="23"/>
  <c r="AU82" i="23"/>
  <c r="BB86" i="23"/>
  <c r="AL86" i="23"/>
  <c r="AO86" i="23"/>
  <c r="AV86" i="23"/>
  <c r="AQ86" i="23"/>
  <c r="AW90" i="23"/>
  <c r="BD90" i="23"/>
  <c r="AU90" i="23"/>
  <c r="BB90" i="23"/>
  <c r="AL90" i="23"/>
  <c r="BA94" i="23"/>
  <c r="AW94" i="23"/>
  <c r="AS94" i="23"/>
  <c r="AO94" i="23"/>
  <c r="AK94" i="23"/>
  <c r="BD94" i="23"/>
  <c r="AZ94" i="23"/>
  <c r="AV94" i="23"/>
  <c r="AR94" i="23"/>
  <c r="AN94" i="23"/>
  <c r="AJ94" i="23"/>
  <c r="BC94" i="23"/>
  <c r="AY94" i="23"/>
  <c r="AU94" i="23"/>
  <c r="AQ94" i="23"/>
  <c r="AM94" i="23"/>
  <c r="AI94" i="23"/>
  <c r="BB94" i="23"/>
  <c r="AX94" i="23"/>
  <c r="AT94" i="23"/>
  <c r="AP94" i="23"/>
  <c r="AL94" i="23"/>
  <c r="BA98" i="23"/>
  <c r="AW98" i="23"/>
  <c r="AS98" i="23"/>
  <c r="AO98" i="23"/>
  <c r="AK98" i="23"/>
  <c r="BD98" i="23"/>
  <c r="AZ98" i="23"/>
  <c r="AV98" i="23"/>
  <c r="AR98" i="23"/>
  <c r="AN98" i="23"/>
  <c r="AJ98" i="23"/>
  <c r="BC98" i="23"/>
  <c r="AY98" i="23"/>
  <c r="AU98" i="23"/>
  <c r="AQ98" i="23"/>
  <c r="AM98" i="23"/>
  <c r="AI98" i="23"/>
  <c r="BB98" i="23"/>
  <c r="AX98" i="23"/>
  <c r="AT98" i="23"/>
  <c r="AP98" i="23"/>
  <c r="AL98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AK57" i="23"/>
  <c r="AO57" i="23"/>
  <c r="AS57" i="23"/>
  <c r="AW57" i="23"/>
  <c r="BA57" i="23"/>
  <c r="AK58" i="23"/>
  <c r="AO58" i="23"/>
  <c r="AS58" i="23"/>
  <c r="AW58" i="23"/>
  <c r="BA58" i="23"/>
  <c r="AK59" i="23"/>
  <c r="AO59" i="23"/>
  <c r="AS59" i="23"/>
  <c r="AW59" i="23"/>
  <c r="BA59" i="23"/>
  <c r="AI60" i="23"/>
  <c r="AO60" i="23"/>
  <c r="AT60" i="23"/>
  <c r="AY60" i="23"/>
  <c r="AM61" i="23"/>
  <c r="AM62" i="23"/>
  <c r="AU62" i="23"/>
  <c r="BC62" i="23"/>
  <c r="AI63" i="23"/>
  <c r="AQ63" i="23"/>
  <c r="BC64" i="23"/>
  <c r="BD63" i="23"/>
  <c r="AZ63" i="23"/>
  <c r="AV63" i="23"/>
  <c r="AR63" i="23"/>
  <c r="AN63" i="23"/>
  <c r="AJ63" i="23"/>
  <c r="BB63" i="23"/>
  <c r="BA63" i="23"/>
  <c r="AW63" i="23"/>
  <c r="AS63" i="23"/>
  <c r="AO63" i="23"/>
  <c r="AK63" i="23"/>
  <c r="AV67" i="23"/>
  <c r="AQ67" i="23"/>
  <c r="AX67" i="23"/>
  <c r="BA67" i="23"/>
  <c r="AK67" i="23"/>
  <c r="AR71" i="23"/>
  <c r="BC71" i="23"/>
  <c r="AM71" i="23"/>
  <c r="AT71" i="23"/>
  <c r="AW71" i="23"/>
  <c r="BA75" i="23"/>
  <c r="AK75" i="23"/>
  <c r="AQ75" i="23"/>
  <c r="AP75" i="23"/>
  <c r="AV75" i="23"/>
  <c r="AJ75" i="23"/>
  <c r="BB79" i="23"/>
  <c r="AX79" i="23"/>
  <c r="AT79" i="23"/>
  <c r="AP79" i="23"/>
  <c r="AL79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BC79" i="23"/>
  <c r="AY79" i="23"/>
  <c r="AU79" i="23"/>
  <c r="AQ79" i="23"/>
  <c r="AM79" i="23"/>
  <c r="AI79" i="23"/>
  <c r="R79" i="23"/>
  <c r="BB83" i="23"/>
  <c r="AX83" i="23"/>
  <c r="AT83" i="23"/>
  <c r="AP83" i="23"/>
  <c r="AL83" i="23"/>
  <c r="BA83" i="23"/>
  <c r="AW83" i="23"/>
  <c r="AS83" i="23"/>
  <c r="AO83" i="23"/>
  <c r="AK83" i="23"/>
  <c r="BD83" i="23"/>
  <c r="AZ83" i="23"/>
  <c r="AV83" i="23"/>
  <c r="AR83" i="23"/>
  <c r="AN83" i="23"/>
  <c r="AJ83" i="23"/>
  <c r="BC83" i="23"/>
  <c r="AY83" i="23"/>
  <c r="AU83" i="23"/>
  <c r="AQ83" i="23"/>
  <c r="AM83" i="23"/>
  <c r="AI83" i="23"/>
  <c r="BC87" i="23"/>
  <c r="AY87" i="23"/>
  <c r="AU87" i="23"/>
  <c r="BB87" i="23"/>
  <c r="AZ87" i="23"/>
  <c r="AT87" i="23"/>
  <c r="AP87" i="23"/>
  <c r="AL87" i="23"/>
  <c r="AX87" i="23"/>
  <c r="AS87" i="23"/>
  <c r="AO87" i="23"/>
  <c r="AK87" i="23"/>
  <c r="BD87" i="23"/>
  <c r="AW87" i="23"/>
  <c r="AR87" i="23"/>
  <c r="AN87" i="23"/>
  <c r="AJ87" i="23"/>
  <c r="BA87" i="23"/>
  <c r="AV87" i="23"/>
  <c r="AQ87" i="23"/>
  <c r="AM87" i="23"/>
  <c r="AI87" i="23"/>
  <c r="BA91" i="23"/>
  <c r="AW91" i="23"/>
  <c r="AS91" i="23"/>
  <c r="AO91" i="23"/>
  <c r="AK91" i="23"/>
  <c r="BD91" i="23"/>
  <c r="AZ91" i="23"/>
  <c r="AV91" i="23"/>
  <c r="AR91" i="23"/>
  <c r="AN91" i="23"/>
  <c r="AJ91" i="23"/>
  <c r="BC91" i="23"/>
  <c r="AY91" i="23"/>
  <c r="AU91" i="23"/>
  <c r="AQ91" i="23"/>
  <c r="AM91" i="23"/>
  <c r="AI91" i="23"/>
  <c r="BB91" i="23"/>
  <c r="AX91" i="23"/>
  <c r="AT91" i="23"/>
  <c r="AP91" i="23"/>
  <c r="AL91" i="23"/>
  <c r="BA95" i="23"/>
  <c r="AW95" i="23"/>
  <c r="AS95" i="23"/>
  <c r="AO95" i="23"/>
  <c r="AK95" i="23"/>
  <c r="BD95" i="23"/>
  <c r="AZ95" i="23"/>
  <c r="AV95" i="23"/>
  <c r="AR95" i="23"/>
  <c r="AN95" i="23"/>
  <c r="AJ95" i="23"/>
  <c r="BC95" i="23"/>
  <c r="AY95" i="23"/>
  <c r="AU95" i="23"/>
  <c r="AQ95" i="23"/>
  <c r="AM95" i="23"/>
  <c r="AI95" i="23"/>
  <c r="BB95" i="23"/>
  <c r="AX95" i="23"/>
  <c r="AT95" i="23"/>
  <c r="AP95" i="23"/>
  <c r="AL95" i="23"/>
  <c r="BA99" i="23"/>
  <c r="AW99" i="23"/>
  <c r="AS99" i="23"/>
  <c r="AO99" i="23"/>
  <c r="AK99" i="23"/>
  <c r="BD99" i="23"/>
  <c r="AZ99" i="23"/>
  <c r="AV99" i="23"/>
  <c r="AR99" i="23"/>
  <c r="AN99" i="23"/>
  <c r="AJ99" i="23"/>
  <c r="BC99" i="23"/>
  <c r="AY99" i="23"/>
  <c r="AU99" i="23"/>
  <c r="AQ99" i="23"/>
  <c r="AM99" i="23"/>
  <c r="AI99" i="23"/>
  <c r="BB99" i="23"/>
  <c r="AX99" i="23"/>
  <c r="AT99" i="23"/>
  <c r="AP99" i="23"/>
  <c r="AL99" i="23"/>
  <c r="BB103" i="23"/>
  <c r="AX103" i="23"/>
  <c r="AT103" i="23"/>
  <c r="AP103" i="23"/>
  <c r="AL103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BC103" i="23"/>
  <c r="AY103" i="23"/>
  <c r="AU103" i="23"/>
  <c r="AQ103" i="23"/>
  <c r="AM103" i="23"/>
  <c r="AI103" i="23"/>
  <c r="AL57" i="23"/>
  <c r="AP57" i="23"/>
  <c r="AT57" i="23"/>
  <c r="AX57" i="23"/>
  <c r="AL58" i="23"/>
  <c r="AP58" i="23"/>
  <c r="AT58" i="23"/>
  <c r="AX58" i="23"/>
  <c r="AL59" i="23"/>
  <c r="AP59" i="23"/>
  <c r="AT59" i="23"/>
  <c r="AX59" i="23"/>
  <c r="BB59" i="23"/>
  <c r="AK60" i="23"/>
  <c r="AP60" i="23"/>
  <c r="AU60" i="23"/>
  <c r="BA60" i="23"/>
  <c r="AO61" i="23"/>
  <c r="AP62" i="23"/>
  <c r="AX62" i="23"/>
  <c r="AL63" i="23"/>
  <c r="AT63" i="23"/>
  <c r="BC63" i="23"/>
  <c r="AG53" i="24"/>
  <c r="AC53" i="24"/>
  <c r="Y53" i="24"/>
  <c r="AG57" i="24"/>
  <c r="AC57" i="24"/>
  <c r="Y57" i="24"/>
  <c r="AH61" i="24"/>
  <c r="AD61" i="24"/>
  <c r="Z61" i="24"/>
  <c r="AG61" i="24"/>
  <c r="AC61" i="24"/>
  <c r="Y61" i="24"/>
  <c r="AH65" i="24"/>
  <c r="AD65" i="24"/>
  <c r="Z65" i="24"/>
  <c r="AG65" i="24"/>
  <c r="AC65" i="24"/>
  <c r="Y65" i="24"/>
  <c r="AF65" i="24"/>
  <c r="AB65" i="24"/>
  <c r="X65" i="24"/>
  <c r="AE65" i="24"/>
  <c r="AA65" i="24"/>
  <c r="AF69" i="24"/>
  <c r="AG69" i="24"/>
  <c r="AD69" i="24"/>
  <c r="Z69" i="24"/>
  <c r="AC69" i="24"/>
  <c r="Y69" i="24"/>
  <c r="AH69" i="24"/>
  <c r="AB69" i="24"/>
  <c r="X69" i="24"/>
  <c r="AE69" i="24"/>
  <c r="AA69" i="24"/>
  <c r="AF73" i="24"/>
  <c r="AB73" i="24"/>
  <c r="X73" i="24"/>
  <c r="AG73" i="24"/>
  <c r="AC73" i="24"/>
  <c r="Y73" i="24"/>
  <c r="AD73" i="24"/>
  <c r="AA73" i="24"/>
  <c r="AH73" i="24"/>
  <c r="Z73" i="24"/>
  <c r="AE73" i="24"/>
  <c r="AF77" i="24"/>
  <c r="AB77" i="24"/>
  <c r="X77" i="24"/>
  <c r="AG77" i="24"/>
  <c r="AC77" i="24"/>
  <c r="Y77" i="24"/>
  <c r="AD77" i="24"/>
  <c r="AA77" i="24"/>
  <c r="AH77" i="24"/>
  <c r="Z77" i="24"/>
  <c r="AE77" i="24"/>
  <c r="AB81" i="24"/>
  <c r="AG81" i="24"/>
  <c r="Y81" i="24"/>
  <c r="AD81" i="24"/>
  <c r="AA81" i="24"/>
  <c r="AH81" i="24"/>
  <c r="AE47" i="24"/>
  <c r="Y48" i="24"/>
  <c r="AC48" i="24"/>
  <c r="AG48" i="24"/>
  <c r="AA49" i="24"/>
  <c r="AE49" i="24"/>
  <c r="Y50" i="24"/>
  <c r="AC50" i="24"/>
  <c r="AG50" i="24"/>
  <c r="X51" i="24"/>
  <c r="X52" i="24"/>
  <c r="AH52" i="24"/>
  <c r="AB53" i="24"/>
  <c r="AH53" i="24"/>
  <c r="AB54" i="24"/>
  <c r="AA55" i="24"/>
  <c r="AF55" i="24"/>
  <c r="Z56" i="24"/>
  <c r="AF56" i="24"/>
  <c r="Z57" i="24"/>
  <c r="AE57" i="24"/>
  <c r="Y58" i="24"/>
  <c r="AD59" i="24"/>
  <c r="AC60" i="24"/>
  <c r="AA61" i="24"/>
  <c r="AF63" i="24"/>
  <c r="Z64" i="24"/>
  <c r="AE54" i="24"/>
  <c r="AA54" i="24"/>
  <c r="AE58" i="24"/>
  <c r="AA58" i="24"/>
  <c r="AF62" i="24"/>
  <c r="AB62" i="24"/>
  <c r="X62" i="24"/>
  <c r="AE62" i="24"/>
  <c r="AA62" i="24"/>
  <c r="AF66" i="24"/>
  <c r="AB66" i="24"/>
  <c r="X66" i="24"/>
  <c r="AE66" i="24"/>
  <c r="AA66" i="24"/>
  <c r="AH66" i="24"/>
  <c r="AD66" i="24"/>
  <c r="Z66" i="24"/>
  <c r="AG66" i="24"/>
  <c r="AC66" i="24"/>
  <c r="Y66" i="24"/>
  <c r="AH70" i="24"/>
  <c r="AD70" i="24"/>
  <c r="Z70" i="24"/>
  <c r="AE70" i="24"/>
  <c r="AA70" i="24"/>
  <c r="AF70" i="24"/>
  <c r="X70" i="24"/>
  <c r="AC70" i="24"/>
  <c r="AB70" i="24"/>
  <c r="AG70" i="24"/>
  <c r="Y70" i="24"/>
  <c r="AH74" i="24"/>
  <c r="AD74" i="24"/>
  <c r="Z74" i="24"/>
  <c r="AE74" i="24"/>
  <c r="AA74" i="24"/>
  <c r="AF74" i="24"/>
  <c r="X74" i="24"/>
  <c r="AC74" i="24"/>
  <c r="AB74" i="24"/>
  <c r="AG74" i="24"/>
  <c r="Y74" i="24"/>
  <c r="AH78" i="24"/>
  <c r="AD78" i="24"/>
  <c r="Z78" i="24"/>
  <c r="AE78" i="24"/>
  <c r="AA78" i="24"/>
  <c r="AF78" i="24"/>
  <c r="X78" i="24"/>
  <c r="AC78" i="24"/>
  <c r="AB78" i="24"/>
  <c r="AG78" i="24"/>
  <c r="Y78" i="24"/>
  <c r="AH82" i="24"/>
  <c r="AD82" i="24"/>
  <c r="Z82" i="24"/>
  <c r="AG82" i="24"/>
  <c r="AC82" i="24"/>
  <c r="Y82" i="24"/>
  <c r="AE82" i="24"/>
  <c r="AA82" i="24"/>
  <c r="AF82" i="24"/>
  <c r="AB82" i="24"/>
  <c r="X82" i="24"/>
  <c r="X47" i="24"/>
  <c r="AF47" i="24"/>
  <c r="Z48" i="24"/>
  <c r="AD48" i="24"/>
  <c r="AH48" i="24"/>
  <c r="X49" i="24"/>
  <c r="AB49" i="24"/>
  <c r="AF49" i="24"/>
  <c r="Z50" i="24"/>
  <c r="AD50" i="24"/>
  <c r="AH50" i="24"/>
  <c r="Z51" i="24"/>
  <c r="Y52" i="24"/>
  <c r="AD52" i="24"/>
  <c r="X53" i="24"/>
  <c r="AD53" i="24"/>
  <c r="X54" i="24"/>
  <c r="AC54" i="24"/>
  <c r="AH54" i="24"/>
  <c r="AB55" i="24"/>
  <c r="AB56" i="24"/>
  <c r="AG56" i="24"/>
  <c r="AA57" i="24"/>
  <c r="AF57" i="24"/>
  <c r="Z58" i="24"/>
  <c r="AF58" i="24"/>
  <c r="Y60" i="24"/>
  <c r="AD60" i="24"/>
  <c r="AB61" i="24"/>
  <c r="AD62" i="24"/>
  <c r="AD64" i="24"/>
  <c r="AG51" i="24"/>
  <c r="AC51" i="24"/>
  <c r="Y51" i="24"/>
  <c r="AG55" i="24"/>
  <c r="AC55" i="24"/>
  <c r="Y55" i="24"/>
  <c r="AG59" i="24"/>
  <c r="AC59" i="24"/>
  <c r="Y59" i="24"/>
  <c r="AH63" i="24"/>
  <c r="AD63" i="24"/>
  <c r="Z63" i="24"/>
  <c r="AG63" i="24"/>
  <c r="AC63" i="24"/>
  <c r="Y63" i="24"/>
  <c r="AE63" i="24"/>
  <c r="AH67" i="24"/>
  <c r="AD67" i="24"/>
  <c r="Z67" i="24"/>
  <c r="AG67" i="24"/>
  <c r="AC67" i="24"/>
  <c r="Y67" i="24"/>
  <c r="AF67" i="24"/>
  <c r="AB67" i="24"/>
  <c r="X67" i="24"/>
  <c r="AE67" i="24"/>
  <c r="AA67" i="24"/>
  <c r="AF71" i="24"/>
  <c r="AB71" i="24"/>
  <c r="X71" i="24"/>
  <c r="AG71" i="24"/>
  <c r="AC71" i="24"/>
  <c r="Y71" i="24"/>
  <c r="AH71" i="24"/>
  <c r="Z71" i="24"/>
  <c r="AE71" i="24"/>
  <c r="AD71" i="24"/>
  <c r="AA71" i="24"/>
  <c r="AF75" i="24"/>
  <c r="AB75" i="24"/>
  <c r="X75" i="24"/>
  <c r="AG75" i="24"/>
  <c r="AC75" i="24"/>
  <c r="Y75" i="24"/>
  <c r="AH75" i="24"/>
  <c r="Z75" i="24"/>
  <c r="AE75" i="24"/>
  <c r="AD75" i="24"/>
  <c r="AA75" i="24"/>
  <c r="AF79" i="24"/>
  <c r="AB79" i="24"/>
  <c r="X79" i="24"/>
  <c r="AG79" i="24"/>
  <c r="AC79" i="24"/>
  <c r="Y79" i="24"/>
  <c r="AH79" i="24"/>
  <c r="Z79" i="24"/>
  <c r="AE79" i="24"/>
  <c r="AD79" i="24"/>
  <c r="AA79" i="24"/>
  <c r="AF83" i="24"/>
  <c r="AB83" i="24"/>
  <c r="X83" i="24"/>
  <c r="AE83" i="24"/>
  <c r="AA83" i="24"/>
  <c r="AG83" i="24"/>
  <c r="AC83" i="24"/>
  <c r="Y83" i="24"/>
  <c r="AD83" i="24"/>
  <c r="Z83" i="24"/>
  <c r="AH83" i="24"/>
  <c r="Y47" i="24"/>
  <c r="AC47" i="24"/>
  <c r="AG47" i="24"/>
  <c r="AA48" i="24"/>
  <c r="AE48" i="24"/>
  <c r="Y49" i="24"/>
  <c r="AC49" i="24"/>
  <c r="AG49" i="24"/>
  <c r="AA50" i="24"/>
  <c r="AE50" i="24"/>
  <c r="AA51" i="24"/>
  <c r="AF51" i="24"/>
  <c r="Z52" i="24"/>
  <c r="Z53" i="24"/>
  <c r="AE53" i="24"/>
  <c r="Y54" i="24"/>
  <c r="AD54" i="24"/>
  <c r="X55" i="24"/>
  <c r="AD55" i="24"/>
  <c r="X56" i="24"/>
  <c r="AC56" i="24"/>
  <c r="AB57" i="24"/>
  <c r="AH57" i="24"/>
  <c r="AB58" i="24"/>
  <c r="AG58" i="24"/>
  <c r="AA59" i="24"/>
  <c r="AF59" i="24"/>
  <c r="Z60" i="24"/>
  <c r="AE61" i="24"/>
  <c r="Y62" i="24"/>
  <c r="AG62" i="24"/>
  <c r="AA63" i="24"/>
  <c r="AE52" i="24"/>
  <c r="AA52" i="24"/>
  <c r="AE56" i="24"/>
  <c r="AA56" i="24"/>
  <c r="AE60" i="24"/>
  <c r="AA60" i="24"/>
  <c r="AF64" i="24"/>
  <c r="AB64" i="24"/>
  <c r="X64" i="24"/>
  <c r="AE64" i="24"/>
  <c r="AA64" i="24"/>
  <c r="AG64" i="24"/>
  <c r="AC64" i="24"/>
  <c r="Y64" i="24"/>
  <c r="AF68" i="24"/>
  <c r="AB68" i="24"/>
  <c r="X68" i="24"/>
  <c r="AE68" i="24"/>
  <c r="AA68" i="24"/>
  <c r="AH68" i="24"/>
  <c r="AD68" i="24"/>
  <c r="Z68" i="24"/>
  <c r="AG68" i="24"/>
  <c r="AC68" i="24"/>
  <c r="Y68" i="24"/>
  <c r="AH72" i="24"/>
  <c r="AD72" i="24"/>
  <c r="Z72" i="24"/>
  <c r="AE72" i="24"/>
  <c r="AA72" i="24"/>
  <c r="AB72" i="24"/>
  <c r="AG72" i="24"/>
  <c r="Y72" i="24"/>
  <c r="AF72" i="24"/>
  <c r="X72" i="24"/>
  <c r="AC72" i="24"/>
  <c r="AH76" i="24"/>
  <c r="AD76" i="24"/>
  <c r="Z76" i="24"/>
  <c r="AE76" i="24"/>
  <c r="AA76" i="24"/>
  <c r="AB76" i="24"/>
  <c r="AG76" i="24"/>
  <c r="Y76" i="24"/>
  <c r="AF76" i="24"/>
  <c r="X76" i="24"/>
  <c r="AC76" i="24"/>
  <c r="AH80" i="24"/>
  <c r="AD80" i="24"/>
  <c r="Z80" i="24"/>
  <c r="AE80" i="24"/>
  <c r="AA80" i="24"/>
  <c r="AB80" i="24"/>
  <c r="AG80" i="24"/>
  <c r="Y80" i="24"/>
  <c r="AF80" i="24"/>
  <c r="X80" i="24"/>
  <c r="AC80" i="24"/>
  <c r="Z47" i="24"/>
  <c r="AD47" i="24"/>
  <c r="X48" i="24"/>
  <c r="AB48" i="24"/>
  <c r="Z49" i="24"/>
  <c r="AD49" i="24"/>
  <c r="X50" i="24"/>
  <c r="AB50" i="24"/>
  <c r="AB51" i="24"/>
  <c r="AH51" i="24"/>
  <c r="AB52" i="24"/>
  <c r="AG52" i="24"/>
  <c r="AA53" i="24"/>
  <c r="AF53" i="24"/>
  <c r="Z54" i="24"/>
  <c r="AF54" i="24"/>
  <c r="Z55" i="24"/>
  <c r="AE55" i="24"/>
  <c r="Y56" i="24"/>
  <c r="AD56" i="24"/>
  <c r="X57" i="24"/>
  <c r="AD57" i="24"/>
  <c r="X58" i="24"/>
  <c r="AC58" i="24"/>
  <c r="AH58" i="24"/>
  <c r="AB59" i="24"/>
  <c r="AH59" i="24"/>
  <c r="AB60" i="24"/>
  <c r="AG60" i="24"/>
  <c r="X61" i="24"/>
  <c r="AF61" i="24"/>
  <c r="Z62" i="24"/>
  <c r="AH62" i="24"/>
  <c r="AB63" i="24"/>
  <c r="D8" i="25"/>
  <c r="B8" i="26"/>
  <c r="D8" i="26"/>
  <c r="H8" i="26"/>
  <c r="J8" i="26"/>
  <c r="C8" i="26"/>
  <c r="G8" i="26"/>
  <c r="I8" i="26"/>
  <c r="K8" i="26"/>
  <c r="Z13" i="21"/>
  <c r="AH13" i="21" s="1"/>
  <c r="AJ13" i="21"/>
  <c r="Z3" i="21"/>
  <c r="AH3" i="21" s="1"/>
  <c r="Z4" i="21"/>
  <c r="AH4" i="21" s="1"/>
  <c r="Z6" i="21"/>
  <c r="AH6" i="21" s="1"/>
  <c r="Z8" i="21"/>
  <c r="AH8" i="21" s="1"/>
  <c r="AJ5" i="21"/>
  <c r="AJ6" i="21"/>
  <c r="U9" i="21"/>
  <c r="AI9" i="21" s="1"/>
  <c r="U10" i="21"/>
  <c r="AI10" i="21" s="1"/>
  <c r="R10" i="21"/>
  <c r="X10" i="21" s="1"/>
  <c r="AF10" i="21" s="1"/>
  <c r="M389" i="21"/>
  <c r="U11" i="21" s="1"/>
  <c r="AI11" i="21" s="1"/>
  <c r="U12" i="21"/>
  <c r="AI12" i="21" s="1"/>
  <c r="AF3" i="21"/>
  <c r="R12" i="21"/>
  <c r="AI5" i="17"/>
  <c r="AJ5" i="16"/>
  <c r="AJ8" i="16" s="1"/>
  <c r="AJ9" i="16" s="1"/>
  <c r="AC117" i="17"/>
  <c r="AC121" i="17"/>
  <c r="AC125" i="17"/>
  <c r="AC129" i="17"/>
  <c r="AC133" i="17"/>
  <c r="AC137" i="17"/>
  <c r="AC141" i="17"/>
  <c r="AC151" i="17"/>
  <c r="AC152" i="17"/>
  <c r="AC159" i="17"/>
  <c r="AC160" i="17"/>
  <c r="AC176" i="17"/>
  <c r="AC66" i="17"/>
  <c r="AC74" i="17"/>
  <c r="AC78" i="17"/>
  <c r="AC82" i="17"/>
  <c r="AC86" i="17"/>
  <c r="AC90" i="17"/>
  <c r="AC94" i="17"/>
  <c r="AC98" i="17"/>
  <c r="AC106" i="17"/>
  <c r="AC110" i="17"/>
  <c r="AC114" i="17"/>
  <c r="AC118" i="17"/>
  <c r="AC122" i="17"/>
  <c r="AC126" i="17"/>
  <c r="AC130" i="17"/>
  <c r="AC134" i="17"/>
  <c r="AI6" i="17" s="1"/>
  <c r="AC138" i="17"/>
  <c r="AC142" i="17"/>
  <c r="AC146" i="17"/>
  <c r="AC164" i="17"/>
  <c r="AC180" i="17"/>
  <c r="AT8" i="16"/>
  <c r="AC67" i="17"/>
  <c r="AC71" i="17"/>
  <c r="AC75" i="17"/>
  <c r="AC79" i="17"/>
  <c r="AC83" i="17"/>
  <c r="AC87" i="17"/>
  <c r="AC91" i="17"/>
  <c r="AC95" i="17"/>
  <c r="AC99" i="17"/>
  <c r="AC103" i="17"/>
  <c r="AC107" i="17"/>
  <c r="AC111" i="17"/>
  <c r="AC115" i="17"/>
  <c r="AC119" i="17"/>
  <c r="AC123" i="17"/>
  <c r="AC127" i="17"/>
  <c r="AC131" i="17"/>
  <c r="AC135" i="17"/>
  <c r="AC139" i="17"/>
  <c r="AC143" i="17"/>
  <c r="AC147" i="17"/>
  <c r="AC148" i="17"/>
  <c r="AC155" i="17"/>
  <c r="AC156" i="17"/>
  <c r="AC168" i="17"/>
  <c r="AC184" i="17"/>
  <c r="AO8" i="16"/>
  <c r="AC68" i="17"/>
  <c r="AC72" i="17"/>
  <c r="AC76" i="17"/>
  <c r="AC80" i="17"/>
  <c r="AC84" i="17"/>
  <c r="AC88" i="17"/>
  <c r="AC92" i="17"/>
  <c r="AC96" i="17"/>
  <c r="AC100" i="17"/>
  <c r="AC104" i="17"/>
  <c r="AC108" i="17"/>
  <c r="AC112" i="17"/>
  <c r="AC116" i="17"/>
  <c r="AC120" i="17"/>
  <c r="AC124" i="17"/>
  <c r="AC128" i="17"/>
  <c r="AC132" i="17"/>
  <c r="AC136" i="17"/>
  <c r="AC140" i="17"/>
  <c r="AC144" i="17"/>
  <c r="AC172" i="17"/>
  <c r="AC188" i="17"/>
  <c r="AT7" i="16"/>
  <c r="AC145" i="17"/>
  <c r="AC149" i="17"/>
  <c r="AC153" i="17"/>
  <c r="AC157" i="17"/>
  <c r="AC161" i="17"/>
  <c r="AC165" i="17"/>
  <c r="AC169" i="17"/>
  <c r="AC173" i="17"/>
  <c r="AC177" i="17"/>
  <c r="AC181" i="17"/>
  <c r="AC185" i="17"/>
  <c r="AC189" i="17"/>
  <c r="AC150" i="17"/>
  <c r="AC154" i="17"/>
  <c r="AC158" i="17"/>
  <c r="AC162" i="17"/>
  <c r="AC166" i="17"/>
  <c r="AC170" i="17"/>
  <c r="AC174" i="17"/>
  <c r="AC178" i="17"/>
  <c r="AC182" i="17"/>
  <c r="AC186" i="17"/>
  <c r="AC190" i="17"/>
  <c r="AC163" i="17"/>
  <c r="AC167" i="17"/>
  <c r="AC171" i="17"/>
  <c r="AC175" i="17"/>
  <c r="AC179" i="17"/>
  <c r="AC183" i="17"/>
  <c r="AC187" i="17"/>
  <c r="M14" i="6"/>
  <c r="M12" i="6"/>
  <c r="M51" i="6"/>
  <c r="M13" i="6"/>
  <c r="M25" i="6"/>
  <c r="M24" i="6"/>
  <c r="AA46" i="13"/>
  <c r="AA46" i="12"/>
  <c r="AA46" i="11"/>
  <c r="AA46" i="10"/>
  <c r="AB55" i="9"/>
  <c r="AB55" i="8"/>
  <c r="AB57" i="6"/>
  <c r="AB55" i="7"/>
  <c r="AD56" i="9"/>
  <c r="AD56" i="8"/>
  <c r="AD56" i="7"/>
  <c r="AD58" i="6"/>
  <c r="AL55" i="9"/>
  <c r="AL55" i="8"/>
  <c r="AL55" i="7"/>
  <c r="AL57" i="6"/>
  <c r="AA56" i="9"/>
  <c r="AA56" i="8"/>
  <c r="AA58" i="6"/>
  <c r="AA56" i="7"/>
  <c r="AH54" i="8"/>
  <c r="AH54" i="9"/>
  <c r="AH54" i="7"/>
  <c r="AI55" i="9"/>
  <c r="AI55" i="8"/>
  <c r="AI57" i="6"/>
  <c r="AI55" i="7"/>
  <c r="AJ56" i="9"/>
  <c r="AJ56" i="8"/>
  <c r="AJ58" i="6"/>
  <c r="AJ56" i="7"/>
  <c r="P54" i="8"/>
  <c r="P58" i="8" s="1"/>
  <c r="P54" i="9"/>
  <c r="P54" i="7"/>
  <c r="U54" i="8"/>
  <c r="U58" i="8" s="1"/>
  <c r="U54" i="9"/>
  <c r="U54" i="7"/>
  <c r="AA44" i="13"/>
  <c r="AA44" i="12"/>
  <c r="AA44" i="10"/>
  <c r="AA44" i="11"/>
  <c r="AG54" i="8"/>
  <c r="AG54" i="9"/>
  <c r="AG54" i="7"/>
  <c r="AD54" i="8"/>
  <c r="AD54" i="9"/>
  <c r="AD54" i="7"/>
  <c r="AG56" i="9"/>
  <c r="AG56" i="8"/>
  <c r="AG56" i="7"/>
  <c r="AG58" i="6"/>
  <c r="Y44" i="13"/>
  <c r="Y44" i="12"/>
  <c r="Y44" i="11"/>
  <c r="Y44" i="10"/>
  <c r="V56" i="9"/>
  <c r="V56" i="8"/>
  <c r="V56" i="7"/>
  <c r="W54" i="8"/>
  <c r="W58" i="8" s="1"/>
  <c r="W54" i="9"/>
  <c r="W54" i="7"/>
  <c r="AH56" i="9"/>
  <c r="AH56" i="8"/>
  <c r="AH56" i="7"/>
  <c r="AH58" i="6"/>
  <c r="AJ54" i="8"/>
  <c r="AJ58" i="8" s="1"/>
  <c r="AJ54" i="9"/>
  <c r="AJ54" i="7"/>
  <c r="Z45" i="13"/>
  <c r="Z45" i="12"/>
  <c r="Z45" i="11"/>
  <c r="Z45" i="10"/>
  <c r="P15" i="5"/>
  <c r="W45" i="13"/>
  <c r="W45" i="12"/>
  <c r="W45" i="10"/>
  <c r="W45" i="11"/>
  <c r="F18" i="5"/>
  <c r="F28" i="5"/>
  <c r="W46" i="13"/>
  <c r="W46" i="12"/>
  <c r="W46" i="11"/>
  <c r="W46" i="10"/>
  <c r="AA45" i="13"/>
  <c r="AA45" i="12"/>
  <c r="AA45" i="10"/>
  <c r="AA45" i="11"/>
  <c r="U56" i="9"/>
  <c r="U56" i="8"/>
  <c r="U58" i="6"/>
  <c r="U56" i="7"/>
  <c r="U46" i="13"/>
  <c r="U46" i="12"/>
  <c r="U46" i="10"/>
  <c r="U46" i="11"/>
  <c r="AH55" i="9"/>
  <c r="AH55" i="8"/>
  <c r="AH55" i="7"/>
  <c r="AH57" i="6"/>
  <c r="AI56" i="9"/>
  <c r="AI56" i="8"/>
  <c r="AI58" i="6"/>
  <c r="AI56" i="7"/>
  <c r="Z44" i="13"/>
  <c r="Z44" i="12"/>
  <c r="Z48" i="12" s="1"/>
  <c r="Z44" i="11"/>
  <c r="Z48" i="11" s="1"/>
  <c r="Z44" i="10"/>
  <c r="Z47" i="10" s="1"/>
  <c r="Z47" i="12" s="1"/>
  <c r="AB54" i="8"/>
  <c r="AB54" i="9"/>
  <c r="AB54" i="7"/>
  <c r="AD55" i="9"/>
  <c r="AD55" i="8"/>
  <c r="AD55" i="7"/>
  <c r="AD57" i="6"/>
  <c r="D28" i="5"/>
  <c r="AL56" i="6" s="1"/>
  <c r="W44" i="13"/>
  <c r="W44" i="12"/>
  <c r="W44" i="10"/>
  <c r="W44" i="11"/>
  <c r="Y46" i="13"/>
  <c r="Y46" i="12"/>
  <c r="Y46" i="10"/>
  <c r="Y46" i="11"/>
  <c r="R44" i="13"/>
  <c r="R44" i="12"/>
  <c r="R44" i="11"/>
  <c r="R44" i="10"/>
  <c r="Z56" i="9"/>
  <c r="Z56" i="8"/>
  <c r="Z56" i="7"/>
  <c r="Z58" i="6"/>
  <c r="E36" i="5"/>
  <c r="AI54" i="8"/>
  <c r="AI58" i="8" s="1"/>
  <c r="AI54" i="9"/>
  <c r="AI54" i="7"/>
  <c r="AJ55" i="9"/>
  <c r="AJ55" i="8"/>
  <c r="AJ55" i="7"/>
  <c r="AJ57" i="6"/>
  <c r="Z46" i="13"/>
  <c r="Z46" i="12"/>
  <c r="Z46" i="11"/>
  <c r="Z46" i="10"/>
  <c r="P16" i="5"/>
  <c r="M54" i="8"/>
  <c r="M58" i="8" s="1"/>
  <c r="M54" i="9"/>
  <c r="M54" i="7"/>
  <c r="R54" i="8"/>
  <c r="R58" i="8" s="1"/>
  <c r="R54" i="9"/>
  <c r="R54" i="7"/>
  <c r="X54" i="8"/>
  <c r="X58" i="8" s="1"/>
  <c r="X54" i="9"/>
  <c r="X54" i="7"/>
  <c r="L54" i="8"/>
  <c r="L58" i="8" s="1"/>
  <c r="L54" i="9"/>
  <c r="L54" i="7"/>
  <c r="Q54" i="8"/>
  <c r="Q58" i="8" s="1"/>
  <c r="Q54" i="9"/>
  <c r="Q54" i="7"/>
  <c r="AC54" i="8"/>
  <c r="AC58" i="8" s="1"/>
  <c r="AC54" i="9"/>
  <c r="AC54" i="7"/>
  <c r="AF54" i="8"/>
  <c r="AF54" i="9"/>
  <c r="AF54" i="7"/>
  <c r="Z54" i="8"/>
  <c r="Z58" i="8" s="1"/>
  <c r="Z47" i="9" s="1"/>
  <c r="Z54" i="9"/>
  <c r="Z54" i="7"/>
  <c r="O54" i="8"/>
  <c r="O58" i="8" s="1"/>
  <c r="O54" i="9"/>
  <c r="O54" i="7"/>
  <c r="S54" i="8"/>
  <c r="S54" i="9"/>
  <c r="S54" i="7"/>
  <c r="AA54" i="8"/>
  <c r="AA58" i="8" s="1"/>
  <c r="AA54" i="9"/>
  <c r="AA54" i="7"/>
  <c r="AE54" i="8"/>
  <c r="AE54" i="9"/>
  <c r="AE54" i="7"/>
  <c r="AK54" i="8"/>
  <c r="AK58" i="8" s="1"/>
  <c r="AK54" i="9"/>
  <c r="AK54" i="7"/>
  <c r="Y43" i="11"/>
  <c r="X43" i="11"/>
  <c r="M47" i="10"/>
  <c r="M47" i="11" s="1"/>
  <c r="O47" i="10"/>
  <c r="O47" i="11" s="1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N47" i="11" s="1"/>
  <c r="P47" i="10"/>
  <c r="P47" i="11" s="1"/>
  <c r="T47" i="10"/>
  <c r="T47" i="11" s="1"/>
  <c r="V47" i="10"/>
  <c r="M43" i="10"/>
  <c r="M48" i="10" s="1"/>
  <c r="O43" i="10"/>
  <c r="O48" i="10" s="1"/>
  <c r="Q43" i="10"/>
  <c r="R43" i="10"/>
  <c r="U43" i="10"/>
  <c r="W43" i="10"/>
  <c r="X43" i="10"/>
  <c r="X48" i="10" s="1"/>
  <c r="AA43" i="10"/>
  <c r="AA51" i="9"/>
  <c r="AA49" i="9"/>
  <c r="AA47" i="9"/>
  <c r="AA50" i="9"/>
  <c r="AA48" i="9"/>
  <c r="AA45" i="9"/>
  <c r="AA46" i="9"/>
  <c r="AA40" i="9"/>
  <c r="AA38" i="9"/>
  <c r="AA36" i="9"/>
  <c r="AA43" i="9"/>
  <c r="AA44" i="9"/>
  <c r="AA42" i="9"/>
  <c r="AA41" i="9"/>
  <c r="AA39" i="9"/>
  <c r="AA37" i="9"/>
  <c r="AA35" i="9"/>
  <c r="AA33" i="9"/>
  <c r="AA31" i="9"/>
  <c r="AA29" i="9"/>
  <c r="AA34" i="9"/>
  <c r="AA32" i="9"/>
  <c r="AA30" i="9"/>
  <c r="AA28" i="9"/>
  <c r="AA24" i="9"/>
  <c r="AA23" i="9"/>
  <c r="AA20" i="9"/>
  <c r="AA25" i="9"/>
  <c r="AA21" i="9"/>
  <c r="AA18" i="9"/>
  <c r="AA16" i="9"/>
  <c r="AA14" i="9"/>
  <c r="AA26" i="9"/>
  <c r="AA19" i="9"/>
  <c r="AA27" i="9"/>
  <c r="AA22" i="9"/>
  <c r="AA17" i="9"/>
  <c r="AA15" i="9"/>
  <c r="AA13" i="9"/>
  <c r="AA11" i="9"/>
  <c r="AA9" i="9"/>
  <c r="AA7" i="9"/>
  <c r="AA5" i="9"/>
  <c r="AA10" i="9"/>
  <c r="AA8" i="9"/>
  <c r="AA6" i="9"/>
  <c r="AA53" i="9" s="1"/>
  <c r="AA12" i="9"/>
  <c r="Z45" i="9"/>
  <c r="Z46" i="9"/>
  <c r="Z39" i="9"/>
  <c r="Z38" i="9"/>
  <c r="Z27" i="9"/>
  <c r="Z32" i="9"/>
  <c r="Z24" i="9"/>
  <c r="Z17" i="9"/>
  <c r="Z23" i="9"/>
  <c r="Z19" i="9"/>
  <c r="Z5" i="9"/>
  <c r="M63" i="6"/>
  <c r="M68" i="6"/>
  <c r="AF53" i="7"/>
  <c r="AE53" i="7"/>
  <c r="AA53" i="7"/>
  <c r="AA58" i="7" s="1"/>
  <c r="Z53" i="7"/>
  <c r="Z58" i="7" s="1"/>
  <c r="AG53" i="7"/>
  <c r="M8" i="6"/>
  <c r="M26" i="6"/>
  <c r="M30" i="6"/>
  <c r="M34" i="6"/>
  <c r="M38" i="6"/>
  <c r="M42" i="6"/>
  <c r="M46" i="6"/>
  <c r="M50" i="6"/>
  <c r="R55" i="6"/>
  <c r="R60" i="6" s="1"/>
  <c r="Y55" i="6"/>
  <c r="M11" i="6"/>
  <c r="M19" i="6"/>
  <c r="O55" i="6"/>
  <c r="O60" i="6" s="1"/>
  <c r="S55" i="6"/>
  <c r="S60" i="6" s="1"/>
  <c r="U55" i="6"/>
  <c r="U60" i="6" s="1"/>
  <c r="AC55" i="6"/>
  <c r="AC60" i="6" s="1"/>
  <c r="AE55" i="6"/>
  <c r="AE60" i="6" s="1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18" i="6"/>
  <c r="M28" i="6"/>
  <c r="M32" i="6"/>
  <c r="M36" i="6"/>
  <c r="M40" i="6"/>
  <c r="M44" i="6"/>
  <c r="M48" i="6"/>
  <c r="Z55" i="6"/>
  <c r="M22" i="6"/>
  <c r="M7" i="6"/>
  <c r="M17" i="6"/>
  <c r="M21" i="6"/>
  <c r="M23" i="6"/>
  <c r="Q55" i="6"/>
  <c r="Q60" i="6" s="1"/>
  <c r="X55" i="6"/>
  <c r="X60" i="6" s="1"/>
  <c r="AA55" i="6"/>
  <c r="D37" i="5"/>
  <c r="F36" i="5"/>
  <c r="Z8" i="9" l="1"/>
  <c r="Z9" i="9"/>
  <c r="Z16" i="9"/>
  <c r="Z13" i="9"/>
  <c r="Z20" i="9"/>
  <c r="Z28" i="9"/>
  <c r="Z33" i="9"/>
  <c r="Z31" i="9"/>
  <c r="Z35" i="9"/>
  <c r="Z42" i="9"/>
  <c r="Z50" i="9"/>
  <c r="Z49" i="9"/>
  <c r="R48" i="10"/>
  <c r="X12" i="21"/>
  <c r="AF12" i="21" s="1"/>
  <c r="AI8" i="17"/>
  <c r="AF60" i="24"/>
  <c r="X60" i="24"/>
  <c r="AH60" i="24"/>
  <c r="L6" i="26" s="1"/>
  <c r="AF52" i="24"/>
  <c r="AC52" i="24"/>
  <c r="AH47" i="24"/>
  <c r="L8" i="26" s="1"/>
  <c r="AB47" i="24"/>
  <c r="F8" i="26" s="1"/>
  <c r="AA47" i="24"/>
  <c r="E8" i="26" s="1"/>
  <c r="BA100" i="23"/>
  <c r="AK100" i="23"/>
  <c r="AR100" i="23"/>
  <c r="BC100" i="23"/>
  <c r="AM100" i="23"/>
  <c r="AT100" i="23"/>
  <c r="AW100" i="23"/>
  <c r="BD100" i="23"/>
  <c r="AN100" i="23"/>
  <c r="AY100" i="23"/>
  <c r="AI100" i="23"/>
  <c r="AP100" i="23"/>
  <c r="AS100" i="23"/>
  <c r="AZ100" i="23"/>
  <c r="AJ100" i="23"/>
  <c r="AU100" i="23"/>
  <c r="BB100" i="23"/>
  <c r="AL100" i="23"/>
  <c r="BA97" i="23"/>
  <c r="T6" i="25" s="1"/>
  <c r="AK97" i="23"/>
  <c r="AR97" i="23"/>
  <c r="BC97" i="23"/>
  <c r="AM97" i="23"/>
  <c r="AT97" i="23"/>
  <c r="AW97" i="23"/>
  <c r="BD97" i="23"/>
  <c r="AN97" i="23"/>
  <c r="AY97" i="23"/>
  <c r="AI97" i="23"/>
  <c r="B6" i="25" s="1"/>
  <c r="AP97" i="23"/>
  <c r="AS97" i="23"/>
  <c r="AZ97" i="23"/>
  <c r="AJ97" i="23"/>
  <c r="AU97" i="23"/>
  <c r="BB97" i="23"/>
  <c r="AL97" i="23"/>
  <c r="AO93" i="23"/>
  <c r="AV93" i="23"/>
  <c r="O6" i="25" s="1"/>
  <c r="AQ93" i="23"/>
  <c r="Z93" i="23"/>
  <c r="AX93" i="23"/>
  <c r="BA93" i="23"/>
  <c r="AK93" i="23"/>
  <c r="D6" i="25" s="1"/>
  <c r="AR93" i="23"/>
  <c r="BC93" i="23"/>
  <c r="V6" i="25" s="1"/>
  <c r="AM93" i="23"/>
  <c r="AT93" i="23"/>
  <c r="AW93" i="23"/>
  <c r="BD93" i="23"/>
  <c r="AN93" i="23"/>
  <c r="AY93" i="23"/>
  <c r="AI93" i="23"/>
  <c r="AP93" i="23"/>
  <c r="AS90" i="23"/>
  <c r="AZ90" i="23"/>
  <c r="AQ90" i="23"/>
  <c r="AX90" i="23"/>
  <c r="AR90" i="23"/>
  <c r="AJ90" i="23"/>
  <c r="AO90" i="23"/>
  <c r="BC90" i="23"/>
  <c r="AM90" i="23"/>
  <c r="AT90" i="23"/>
  <c r="BA90" i="23"/>
  <c r="AK90" i="23"/>
  <c r="AY90" i="23"/>
  <c r="AI90" i="23"/>
  <c r="AP90" i="23"/>
  <c r="AN90" i="23"/>
  <c r="AV90" i="23"/>
  <c r="AX86" i="23"/>
  <c r="BA86" i="23"/>
  <c r="AK86" i="23"/>
  <c r="AR86" i="23"/>
  <c r="BC86" i="23"/>
  <c r="AM86" i="23"/>
  <c r="AT86" i="23"/>
  <c r="AW86" i="23"/>
  <c r="BD86" i="23"/>
  <c r="AN86" i="23"/>
  <c r="AY86" i="23"/>
  <c r="AI86" i="23"/>
  <c r="AP86" i="23"/>
  <c r="AS86" i="23"/>
  <c r="AZ86" i="23"/>
  <c r="AJ86" i="23"/>
  <c r="AU86" i="23"/>
  <c r="M67" i="6"/>
  <c r="BB82" i="23"/>
  <c r="AL82" i="23"/>
  <c r="AO82" i="23"/>
  <c r="AV82" i="23"/>
  <c r="AQ82" i="23"/>
  <c r="AX82" i="23"/>
  <c r="BA82" i="23"/>
  <c r="AK82" i="23"/>
  <c r="AR82" i="23"/>
  <c r="BC82" i="23"/>
  <c r="AM82" i="23"/>
  <c r="AT82" i="23"/>
  <c r="AW82" i="23"/>
  <c r="BD82" i="23"/>
  <c r="AN82" i="23"/>
  <c r="AY82" i="23"/>
  <c r="AI82" i="23"/>
  <c r="AP78" i="23"/>
  <c r="AS78" i="23"/>
  <c r="AZ78" i="23"/>
  <c r="AJ78" i="23"/>
  <c r="AU78" i="23"/>
  <c r="BB78" i="23"/>
  <c r="AL78" i="23"/>
  <c r="AO78" i="23"/>
  <c r="P78" i="23"/>
  <c r="AV78" i="23"/>
  <c r="AQ78" i="23"/>
  <c r="AX78" i="23"/>
  <c r="BA78" i="23"/>
  <c r="AK78" i="23"/>
  <c r="AR78" i="23"/>
  <c r="BC78" i="23"/>
  <c r="AM78" i="23"/>
  <c r="AW75" i="23"/>
  <c r="BC75" i="23"/>
  <c r="AM75" i="23"/>
  <c r="AN75" i="23"/>
  <c r="BB75" i="23"/>
  <c r="AS75" i="23"/>
  <c r="AY75" i="23"/>
  <c r="AI75" i="23"/>
  <c r="R75" i="23"/>
  <c r="AT75" i="23"/>
  <c r="AZ75" i="23"/>
  <c r="AO75" i="23"/>
  <c r="P75" i="23"/>
  <c r="AU75" i="23"/>
  <c r="AX75" i="23"/>
  <c r="BD75" i="23"/>
  <c r="AL75" i="23"/>
  <c r="AR75" i="23"/>
  <c r="BD71" i="23"/>
  <c r="AN71" i="23"/>
  <c r="AY71" i="23"/>
  <c r="AI71" i="23"/>
  <c r="AP71" i="23"/>
  <c r="AS71" i="23"/>
  <c r="AZ71" i="23"/>
  <c r="S6" i="25" s="1"/>
  <c r="AJ71" i="23"/>
  <c r="AU71" i="23"/>
  <c r="BB71" i="23"/>
  <c r="AL71" i="23"/>
  <c r="AO71" i="23"/>
  <c r="H6" i="25" s="1"/>
  <c r="AV71" i="23"/>
  <c r="AQ71" i="23"/>
  <c r="AX71" i="23"/>
  <c r="Y71" i="23"/>
  <c r="BA71" i="23"/>
  <c r="AK71" i="23"/>
  <c r="AR67" i="23"/>
  <c r="K6" i="25" s="1"/>
  <c r="BC67" i="23"/>
  <c r="AM67" i="23"/>
  <c r="AT67" i="23"/>
  <c r="AW67" i="23"/>
  <c r="BD67" i="23"/>
  <c r="AN67" i="23"/>
  <c r="AY67" i="23"/>
  <c r="R6" i="25" s="1"/>
  <c r="AI67" i="23"/>
  <c r="AP67" i="23"/>
  <c r="AS67" i="23"/>
  <c r="AZ67" i="23"/>
  <c r="AJ67" i="23"/>
  <c r="AU67" i="23"/>
  <c r="BB67" i="23"/>
  <c r="AL67" i="23"/>
  <c r="AO67" i="23"/>
  <c r="AZ64" i="23"/>
  <c r="S8" i="25" s="1"/>
  <c r="AJ64" i="23"/>
  <c r="C8" i="25" s="1"/>
  <c r="AT64" i="23"/>
  <c r="AW64" i="23"/>
  <c r="AI64" i="23"/>
  <c r="AV64" i="23"/>
  <c r="AP64" i="23"/>
  <c r="AS64" i="23"/>
  <c r="L6" i="25" s="1"/>
  <c r="AU64" i="23"/>
  <c r="AY64" i="23"/>
  <c r="AQ64" i="23"/>
  <c r="AR64" i="23"/>
  <c r="BB64" i="23"/>
  <c r="U8" i="25" s="1"/>
  <c r="AL64" i="23"/>
  <c r="AO64" i="23"/>
  <c r="H8" i="25" s="1"/>
  <c r="AM64" i="23"/>
  <c r="F8" i="25" s="1"/>
  <c r="BA61" i="23"/>
  <c r="T8" i="25" s="1"/>
  <c r="AP61" i="23"/>
  <c r="I8" i="25" s="1"/>
  <c r="AV61" i="23"/>
  <c r="O8" i="25" s="1"/>
  <c r="AL61" i="23"/>
  <c r="E8" i="25" s="1"/>
  <c r="AS61" i="23"/>
  <c r="AT61" i="23"/>
  <c r="M8" i="25" s="1"/>
  <c r="AU61" i="23"/>
  <c r="N8" i="25" s="1"/>
  <c r="AR61" i="23"/>
  <c r="K8" i="25" s="1"/>
  <c r="AQ61" i="23"/>
  <c r="AX61" i="23"/>
  <c r="Q8" i="25" s="1"/>
  <c r="AY61" i="23"/>
  <c r="R8" i="25" s="1"/>
  <c r="BD61" i="23"/>
  <c r="W8" i="25" s="1"/>
  <c r="AN61" i="23"/>
  <c r="G8" i="25" s="1"/>
  <c r="AW61" i="23"/>
  <c r="P8" i="25" s="1"/>
  <c r="BC61" i="23"/>
  <c r="V8" i="25" s="1"/>
  <c r="AI61" i="23"/>
  <c r="AI55" i="6"/>
  <c r="AI60" i="6" s="1"/>
  <c r="X81" i="24"/>
  <c r="AC81" i="24"/>
  <c r="AE81" i="24"/>
  <c r="AF81" i="24"/>
  <c r="Z81" i="24"/>
  <c r="AE59" i="24"/>
  <c r="X59" i="24"/>
  <c r="Z59" i="24"/>
  <c r="AE51" i="24"/>
  <c r="I6" i="26" s="1"/>
  <c r="AD51" i="24"/>
  <c r="M66" i="6"/>
  <c r="M64" i="6" s="1"/>
  <c r="M70" i="6" s="1"/>
  <c r="Z10" i="9"/>
  <c r="Z12" i="9"/>
  <c r="Z21" i="9"/>
  <c r="Z15" i="9"/>
  <c r="Z22" i="9"/>
  <c r="Z30" i="9"/>
  <c r="Z25" i="9"/>
  <c r="Z36" i="9"/>
  <c r="Z37" i="9"/>
  <c r="Z44" i="9"/>
  <c r="Z43" i="9"/>
  <c r="Z51" i="9"/>
  <c r="U10" i="25"/>
  <c r="AI7" i="17"/>
  <c r="M55" i="6"/>
  <c r="M60" i="6" s="1"/>
  <c r="Z6" i="9"/>
  <c r="Z53" i="9" s="1"/>
  <c r="Z7" i="9"/>
  <c r="Z14" i="9"/>
  <c r="Z11" i="9"/>
  <c r="Z18" i="9"/>
  <c r="Z26" i="9"/>
  <c r="Z34" i="9"/>
  <c r="Z29" i="9"/>
  <c r="Z40" i="9"/>
  <c r="Z41" i="9"/>
  <c r="Z48" i="9"/>
  <c r="U48" i="10"/>
  <c r="AB43" i="10"/>
  <c r="B10" i="26"/>
  <c r="B6" i="26"/>
  <c r="L10" i="26"/>
  <c r="E10" i="25"/>
  <c r="L10" i="25"/>
  <c r="W10" i="25"/>
  <c r="G10" i="25"/>
  <c r="R10" i="25"/>
  <c r="B10" i="25"/>
  <c r="H10" i="26"/>
  <c r="H6" i="26"/>
  <c r="K10" i="26"/>
  <c r="K6" i="26"/>
  <c r="H10" i="25"/>
  <c r="S10" i="25"/>
  <c r="C10" i="25"/>
  <c r="C6" i="25"/>
  <c r="N10" i="25"/>
  <c r="N6" i="25"/>
  <c r="D10" i="26"/>
  <c r="D6" i="26"/>
  <c r="G10" i="26"/>
  <c r="G6" i="26"/>
  <c r="J10" i="26"/>
  <c r="J6" i="26"/>
  <c r="M10" i="25"/>
  <c r="T10" i="25"/>
  <c r="D10" i="25"/>
  <c r="O10" i="25"/>
  <c r="J10" i="25"/>
  <c r="J6" i="25"/>
  <c r="U6" i="25"/>
  <c r="C10" i="26"/>
  <c r="C6" i="26"/>
  <c r="F10" i="26"/>
  <c r="F6" i="26"/>
  <c r="I10" i="26"/>
  <c r="K10" i="25"/>
  <c r="V10" i="25"/>
  <c r="F10" i="25"/>
  <c r="F6" i="25"/>
  <c r="X11" i="21"/>
  <c r="AF11" i="21" s="1"/>
  <c r="X9" i="21"/>
  <c r="AF9" i="21" s="1"/>
  <c r="AO9" i="16"/>
  <c r="AT9" i="16"/>
  <c r="Q29" i="7"/>
  <c r="Q26" i="7"/>
  <c r="Q23" i="7"/>
  <c r="Q16" i="7"/>
  <c r="Q14" i="7"/>
  <c r="Q10" i="7"/>
  <c r="Q8" i="7"/>
  <c r="Q6" i="7"/>
  <c r="Q24" i="7"/>
  <c r="Q21" i="7"/>
  <c r="Q27" i="7"/>
  <c r="Q22" i="7"/>
  <c r="Q15" i="7"/>
  <c r="Q13" i="7"/>
  <c r="Q9" i="7"/>
  <c r="Q5" i="7"/>
  <c r="Q28" i="7"/>
  <c r="Q34" i="7"/>
  <c r="Q50" i="7"/>
  <c r="Q11" i="7"/>
  <c r="Q39" i="7"/>
  <c r="Q20" i="7"/>
  <c r="Q44" i="7"/>
  <c r="Q37" i="7"/>
  <c r="Q7" i="7"/>
  <c r="Q38" i="7"/>
  <c r="Q19" i="7"/>
  <c r="Q43" i="7"/>
  <c r="Q32" i="7"/>
  <c r="Q48" i="7"/>
  <c r="Q17" i="7"/>
  <c r="Q41" i="7"/>
  <c r="Q18" i="7"/>
  <c r="Q42" i="7"/>
  <c r="Q31" i="7"/>
  <c r="Q47" i="7"/>
  <c r="Q36" i="7"/>
  <c r="Q25" i="7"/>
  <c r="Q45" i="7"/>
  <c r="Q30" i="7"/>
  <c r="Q46" i="7"/>
  <c r="Q35" i="7"/>
  <c r="Q51" i="7"/>
  <c r="Q12" i="7"/>
  <c r="Q40" i="7"/>
  <c r="Q33" i="7"/>
  <c r="Q49" i="7"/>
  <c r="M17" i="7"/>
  <c r="M48" i="7"/>
  <c r="M32" i="7"/>
  <c r="L29" i="7"/>
  <c r="L26" i="7"/>
  <c r="L23" i="7"/>
  <c r="L16" i="7"/>
  <c r="L14" i="7"/>
  <c r="L10" i="7"/>
  <c r="L8" i="7"/>
  <c r="L6" i="7"/>
  <c r="L24" i="7"/>
  <c r="L21" i="7"/>
  <c r="L27" i="7"/>
  <c r="L22" i="7"/>
  <c r="L15" i="7"/>
  <c r="L13" i="7"/>
  <c r="L9" i="7"/>
  <c r="L5" i="7"/>
  <c r="L28" i="7"/>
  <c r="L36" i="7"/>
  <c r="L17" i="7"/>
  <c r="L41" i="7"/>
  <c r="L30" i="7"/>
  <c r="L46" i="7"/>
  <c r="L11" i="7"/>
  <c r="L39" i="7"/>
  <c r="L12" i="7"/>
  <c r="L40" i="7"/>
  <c r="L25" i="7"/>
  <c r="L45" i="7"/>
  <c r="L34" i="7"/>
  <c r="L50" i="7"/>
  <c r="L19" i="7"/>
  <c r="L43" i="7"/>
  <c r="L20" i="7"/>
  <c r="L44" i="7"/>
  <c r="L33" i="7"/>
  <c r="L49" i="7"/>
  <c r="L7" i="7"/>
  <c r="L38" i="7"/>
  <c r="L31" i="7"/>
  <c r="L47" i="7"/>
  <c r="L32" i="7"/>
  <c r="L48" i="7"/>
  <c r="L37" i="7"/>
  <c r="L18" i="7"/>
  <c r="L42" i="7"/>
  <c r="L35" i="7"/>
  <c r="L51" i="7"/>
  <c r="M43" i="7"/>
  <c r="M35" i="7"/>
  <c r="M27" i="7"/>
  <c r="U49" i="7"/>
  <c r="U47" i="7"/>
  <c r="U45" i="7"/>
  <c r="U43" i="7"/>
  <c r="U50" i="7"/>
  <c r="U48" i="7"/>
  <c r="U46" i="7"/>
  <c r="U44" i="7"/>
  <c r="U51" i="7"/>
  <c r="U32" i="7"/>
  <c r="U28" i="7"/>
  <c r="U25" i="7"/>
  <c r="U20" i="7"/>
  <c r="U41" i="7"/>
  <c r="U39" i="7"/>
  <c r="U37" i="7"/>
  <c r="U35" i="7"/>
  <c r="U33" i="7"/>
  <c r="U29" i="7"/>
  <c r="U26" i="7"/>
  <c r="U23" i="7"/>
  <c r="U18" i="7"/>
  <c r="U16" i="7"/>
  <c r="U14" i="7"/>
  <c r="U12" i="7"/>
  <c r="U10" i="7"/>
  <c r="U8" i="7"/>
  <c r="U6" i="7"/>
  <c r="U30" i="7"/>
  <c r="U24" i="7"/>
  <c r="U21" i="7"/>
  <c r="U42" i="7"/>
  <c r="U40" i="7"/>
  <c r="U38" i="7"/>
  <c r="U36" i="7"/>
  <c r="U34" i="7"/>
  <c r="U31" i="7"/>
  <c r="U27" i="7"/>
  <c r="U22" i="7"/>
  <c r="U19" i="7"/>
  <c r="U17" i="7"/>
  <c r="U15" i="7"/>
  <c r="U13" i="7"/>
  <c r="U11" i="7"/>
  <c r="U9" i="7"/>
  <c r="U7" i="7"/>
  <c r="U5" i="7"/>
  <c r="M11" i="7"/>
  <c r="M46" i="7"/>
  <c r="M30" i="7"/>
  <c r="AA48" i="8"/>
  <c r="Z48" i="23" s="1"/>
  <c r="Z100" i="23" s="1"/>
  <c r="AA44" i="8"/>
  <c r="Z44" i="23" s="1"/>
  <c r="Z96" i="23" s="1"/>
  <c r="AA40" i="8"/>
  <c r="Z40" i="23" s="1"/>
  <c r="Z92" i="23" s="1"/>
  <c r="AA36" i="8"/>
  <c r="Z36" i="23" s="1"/>
  <c r="Z88" i="23" s="1"/>
  <c r="AA32" i="8"/>
  <c r="Z32" i="23" s="1"/>
  <c r="Z84" i="23" s="1"/>
  <c r="AA51" i="8"/>
  <c r="Z51" i="23" s="1"/>
  <c r="Z103" i="23" s="1"/>
  <c r="AA47" i="8"/>
  <c r="Z47" i="23" s="1"/>
  <c r="Z99" i="23" s="1"/>
  <c r="AA43" i="8"/>
  <c r="Z43" i="23" s="1"/>
  <c r="Z95" i="23" s="1"/>
  <c r="AA39" i="8"/>
  <c r="Z39" i="23" s="1"/>
  <c r="Z91" i="23" s="1"/>
  <c r="AA35" i="8"/>
  <c r="Z35" i="23" s="1"/>
  <c r="Z87" i="23" s="1"/>
  <c r="AA50" i="8"/>
  <c r="Z50" i="23" s="1"/>
  <c r="Z102" i="23" s="1"/>
  <c r="AA46" i="8"/>
  <c r="Z46" i="23" s="1"/>
  <c r="Z98" i="23" s="1"/>
  <c r="AA42" i="8"/>
  <c r="Z42" i="23" s="1"/>
  <c r="Z94" i="23" s="1"/>
  <c r="AA38" i="8"/>
  <c r="Z38" i="23" s="1"/>
  <c r="Z90" i="23" s="1"/>
  <c r="AA34" i="8"/>
  <c r="Z34" i="23" s="1"/>
  <c r="Z86" i="23" s="1"/>
  <c r="AA49" i="8"/>
  <c r="Z49" i="23" s="1"/>
  <c r="Z101" i="23" s="1"/>
  <c r="AA45" i="8"/>
  <c r="Z45" i="23" s="1"/>
  <c r="Z97" i="23" s="1"/>
  <c r="AA41" i="8"/>
  <c r="Z41" i="23" s="1"/>
  <c r="AA37" i="8"/>
  <c r="Z37" i="23" s="1"/>
  <c r="Z89" i="23" s="1"/>
  <c r="AA30" i="8"/>
  <c r="Z30" i="23" s="1"/>
  <c r="Z82" i="23" s="1"/>
  <c r="AA27" i="8"/>
  <c r="Z27" i="23" s="1"/>
  <c r="Z79" i="23" s="1"/>
  <c r="AA23" i="8"/>
  <c r="Z23" i="23" s="1"/>
  <c r="Z75" i="23" s="1"/>
  <c r="AA19" i="8"/>
  <c r="Z19" i="23" s="1"/>
  <c r="Z71" i="23" s="1"/>
  <c r="AA15" i="8"/>
  <c r="Z15" i="23" s="1"/>
  <c r="Z67" i="23" s="1"/>
  <c r="AA10" i="8"/>
  <c r="Z10" i="23" s="1"/>
  <c r="Z62" i="23" s="1"/>
  <c r="AA7" i="8"/>
  <c r="Z7" i="23" s="1"/>
  <c r="Z59" i="23" s="1"/>
  <c r="AA29" i="8"/>
  <c r="Z29" i="23" s="1"/>
  <c r="Z81" i="23" s="1"/>
  <c r="AA26" i="8"/>
  <c r="Z26" i="23" s="1"/>
  <c r="Z78" i="23" s="1"/>
  <c r="AA22" i="8"/>
  <c r="Z22" i="23" s="1"/>
  <c r="Z74" i="23" s="1"/>
  <c r="AA18" i="8"/>
  <c r="Z18" i="23" s="1"/>
  <c r="Z70" i="23" s="1"/>
  <c r="AA12" i="8"/>
  <c r="Z12" i="23" s="1"/>
  <c r="Z64" i="23" s="1"/>
  <c r="AA9" i="8"/>
  <c r="Z9" i="23" s="1"/>
  <c r="Z61" i="23" s="1"/>
  <c r="AA31" i="8"/>
  <c r="Z31" i="23" s="1"/>
  <c r="Z83" i="23" s="1"/>
  <c r="AA25" i="8"/>
  <c r="Z25" i="23" s="1"/>
  <c r="Z77" i="23" s="1"/>
  <c r="AA21" i="8"/>
  <c r="Z21" i="23" s="1"/>
  <c r="Z73" i="23" s="1"/>
  <c r="AA17" i="8"/>
  <c r="Z17" i="23" s="1"/>
  <c r="Z69" i="23" s="1"/>
  <c r="AA14" i="8"/>
  <c r="Z14" i="23" s="1"/>
  <c r="Z66" i="23" s="1"/>
  <c r="AA11" i="8"/>
  <c r="Z11" i="23" s="1"/>
  <c r="Z63" i="23" s="1"/>
  <c r="AA6" i="8"/>
  <c r="Z6" i="23" s="1"/>
  <c r="Z58" i="23" s="1"/>
  <c r="AA33" i="8"/>
  <c r="Z33" i="23" s="1"/>
  <c r="Z85" i="23" s="1"/>
  <c r="AA28" i="8"/>
  <c r="Z28" i="23" s="1"/>
  <c r="Z80" i="23" s="1"/>
  <c r="AA24" i="8"/>
  <c r="Z24" i="23" s="1"/>
  <c r="Z76" i="23" s="1"/>
  <c r="AA20" i="8"/>
  <c r="Z20" i="23" s="1"/>
  <c r="Z72" i="23" s="1"/>
  <c r="AA16" i="8"/>
  <c r="Z16" i="23" s="1"/>
  <c r="Z68" i="23" s="1"/>
  <c r="AA13" i="8"/>
  <c r="Z13" i="23" s="1"/>
  <c r="Z65" i="23" s="1"/>
  <c r="AA8" i="8"/>
  <c r="Z8" i="23" s="1"/>
  <c r="Z60" i="23" s="1"/>
  <c r="AA5" i="8"/>
  <c r="Z5" i="23" s="1"/>
  <c r="Z57" i="23" s="1"/>
  <c r="O15" i="11"/>
  <c r="O9" i="11"/>
  <c r="O5" i="11"/>
  <c r="O8" i="11"/>
  <c r="O7" i="11"/>
  <c r="O10" i="11"/>
  <c r="O6" i="11"/>
  <c r="O27" i="11"/>
  <c r="O20" i="11"/>
  <c r="O36" i="11"/>
  <c r="O17" i="11"/>
  <c r="O33" i="11"/>
  <c r="O13" i="11"/>
  <c r="O18" i="11"/>
  <c r="O34" i="11"/>
  <c r="O14" i="11"/>
  <c r="O31" i="11"/>
  <c r="O24" i="11"/>
  <c r="O40" i="11"/>
  <c r="O21" i="11"/>
  <c r="O37" i="11"/>
  <c r="O22" i="11"/>
  <c r="O38" i="11"/>
  <c r="O19" i="11"/>
  <c r="O35" i="11"/>
  <c r="O11" i="11"/>
  <c r="O28" i="11"/>
  <c r="O25" i="11"/>
  <c r="O41" i="11"/>
  <c r="O26" i="11"/>
  <c r="O23" i="11"/>
  <c r="O39" i="11"/>
  <c r="O16" i="11"/>
  <c r="O32" i="11"/>
  <c r="O12" i="11"/>
  <c r="O29" i="11"/>
  <c r="O30" i="11"/>
  <c r="N47" i="12"/>
  <c r="M47" i="12"/>
  <c r="F37" i="5"/>
  <c r="R46" i="13"/>
  <c r="R46" i="12"/>
  <c r="R46" i="11"/>
  <c r="R46" i="10"/>
  <c r="S44" i="13"/>
  <c r="S44" i="12"/>
  <c r="S44" i="10"/>
  <c r="S44" i="11"/>
  <c r="M7" i="7"/>
  <c r="M44" i="7"/>
  <c r="M28" i="7"/>
  <c r="W48" i="7"/>
  <c r="W46" i="7"/>
  <c r="W44" i="7"/>
  <c r="W51" i="7"/>
  <c r="W49" i="7"/>
  <c r="W47" i="7"/>
  <c r="W45" i="7"/>
  <c r="W43" i="7"/>
  <c r="W50" i="7"/>
  <c r="W30" i="7"/>
  <c r="W24" i="7"/>
  <c r="W21" i="7"/>
  <c r="W42" i="7"/>
  <c r="W40" i="7"/>
  <c r="W38" i="7"/>
  <c r="W36" i="7"/>
  <c r="W34" i="7"/>
  <c r="W31" i="7"/>
  <c r="W27" i="7"/>
  <c r="W22" i="7"/>
  <c r="W19" i="7"/>
  <c r="W17" i="7"/>
  <c r="W15" i="7"/>
  <c r="W13" i="7"/>
  <c r="W11" i="7"/>
  <c r="W9" i="7"/>
  <c r="W7" i="7"/>
  <c r="W5" i="7"/>
  <c r="W32" i="7"/>
  <c r="W28" i="7"/>
  <c r="W25" i="7"/>
  <c r="W20" i="7"/>
  <c r="W41" i="7"/>
  <c r="W39" i="7"/>
  <c r="W37" i="7"/>
  <c r="W35" i="7"/>
  <c r="W33" i="7"/>
  <c r="W29" i="7"/>
  <c r="W26" i="7"/>
  <c r="W23" i="7"/>
  <c r="W18" i="7"/>
  <c r="W16" i="7"/>
  <c r="W14" i="7"/>
  <c r="W12" i="7"/>
  <c r="W10" i="7"/>
  <c r="W8" i="7"/>
  <c r="W6" i="7"/>
  <c r="M49" i="7"/>
  <c r="M41" i="7"/>
  <c r="M33" i="7"/>
  <c r="M20" i="7"/>
  <c r="S19" i="7"/>
  <c r="S17" i="7"/>
  <c r="S15" i="7"/>
  <c r="S13" i="7"/>
  <c r="S11" i="7"/>
  <c r="S9" i="7"/>
  <c r="S7" i="7"/>
  <c r="S5" i="7"/>
  <c r="S25" i="7"/>
  <c r="S20" i="7"/>
  <c r="S18" i="7"/>
  <c r="S16" i="7"/>
  <c r="S14" i="7"/>
  <c r="S12" i="7"/>
  <c r="S10" i="7"/>
  <c r="S8" i="7"/>
  <c r="S6" i="7"/>
  <c r="S30" i="7"/>
  <c r="S46" i="7"/>
  <c r="S35" i="7"/>
  <c r="S51" i="7"/>
  <c r="S23" i="7"/>
  <c r="S40" i="7"/>
  <c r="S33" i="7"/>
  <c r="S49" i="7"/>
  <c r="S34" i="7"/>
  <c r="S50" i="7"/>
  <c r="S22" i="7"/>
  <c r="S39" i="7"/>
  <c r="S28" i="7"/>
  <c r="S44" i="7"/>
  <c r="S37" i="7"/>
  <c r="S21" i="7"/>
  <c r="S38" i="7"/>
  <c r="S27" i="7"/>
  <c r="S43" i="7"/>
  <c r="S32" i="7"/>
  <c r="S48" i="7"/>
  <c r="S24" i="7"/>
  <c r="S41" i="7"/>
  <c r="S26" i="7"/>
  <c r="S42" i="7"/>
  <c r="S31" i="7"/>
  <c r="S47" i="7"/>
  <c r="S36" i="7"/>
  <c r="S29" i="7"/>
  <c r="S45" i="7"/>
  <c r="M42" i="7"/>
  <c r="M26" i="7"/>
  <c r="U15" i="11"/>
  <c r="U8" i="11"/>
  <c r="U7" i="11"/>
  <c r="U10" i="11"/>
  <c r="U6" i="11"/>
  <c r="U9" i="11"/>
  <c r="U5" i="11"/>
  <c r="U25" i="11"/>
  <c r="U18" i="11"/>
  <c r="U34" i="11"/>
  <c r="U14" i="11"/>
  <c r="U31" i="11"/>
  <c r="U28" i="11"/>
  <c r="U29" i="11"/>
  <c r="U12" i="11"/>
  <c r="U22" i="11"/>
  <c r="U38" i="11"/>
  <c r="U19" i="11"/>
  <c r="U35" i="11"/>
  <c r="U16" i="11"/>
  <c r="U32" i="11"/>
  <c r="U33" i="11"/>
  <c r="U17" i="11"/>
  <c r="U26" i="11"/>
  <c r="U23" i="11"/>
  <c r="U39" i="11"/>
  <c r="U20" i="11"/>
  <c r="U36" i="11"/>
  <c r="U37" i="11"/>
  <c r="U11" i="11"/>
  <c r="U21" i="11"/>
  <c r="U13" i="11"/>
  <c r="U30" i="11"/>
  <c r="U27" i="11"/>
  <c r="U24" i="11"/>
  <c r="U40" i="11"/>
  <c r="U41" i="11"/>
  <c r="M15" i="11"/>
  <c r="M7" i="11"/>
  <c r="M10" i="11"/>
  <c r="M6" i="11"/>
  <c r="M9" i="11"/>
  <c r="M5" i="11"/>
  <c r="M8" i="11"/>
  <c r="M23" i="11"/>
  <c r="M39" i="11"/>
  <c r="M16" i="11"/>
  <c r="M32" i="11"/>
  <c r="M12" i="11"/>
  <c r="M29" i="11"/>
  <c r="M26" i="11"/>
  <c r="M27" i="11"/>
  <c r="M20" i="11"/>
  <c r="M36" i="11"/>
  <c r="M17" i="11"/>
  <c r="M33" i="11"/>
  <c r="M13" i="11"/>
  <c r="M30" i="11"/>
  <c r="M14" i="11"/>
  <c r="M31" i="11"/>
  <c r="M24" i="11"/>
  <c r="M40" i="11"/>
  <c r="M21" i="11"/>
  <c r="M37" i="11"/>
  <c r="M18" i="11"/>
  <c r="M34" i="11"/>
  <c r="M19" i="11"/>
  <c r="M35" i="11"/>
  <c r="M11" i="11"/>
  <c r="M28" i="11"/>
  <c r="M25" i="11"/>
  <c r="M41" i="11"/>
  <c r="M22" i="11"/>
  <c r="M38" i="11"/>
  <c r="U47" i="12"/>
  <c r="M23" i="7"/>
  <c r="M22" i="7"/>
  <c r="M40" i="7"/>
  <c r="M18" i="7"/>
  <c r="M47" i="7"/>
  <c r="M39" i="7"/>
  <c r="M31" i="7"/>
  <c r="O19" i="7"/>
  <c r="O17" i="7"/>
  <c r="O15" i="7"/>
  <c r="O13" i="7"/>
  <c r="O11" i="7"/>
  <c r="O9" i="7"/>
  <c r="O7" i="7"/>
  <c r="O5" i="7"/>
  <c r="O25" i="7"/>
  <c r="O20" i="7"/>
  <c r="O18" i="7"/>
  <c r="O16" i="7"/>
  <c r="O14" i="7"/>
  <c r="O12" i="7"/>
  <c r="O10" i="7"/>
  <c r="O8" i="7"/>
  <c r="O6" i="7"/>
  <c r="O21" i="7"/>
  <c r="O38" i="7"/>
  <c r="O27" i="7"/>
  <c r="O43" i="7"/>
  <c r="O32" i="7"/>
  <c r="O48" i="7"/>
  <c r="O24" i="7"/>
  <c r="O41" i="7"/>
  <c r="O26" i="7"/>
  <c r="O42" i="7"/>
  <c r="O31" i="7"/>
  <c r="O47" i="7"/>
  <c r="O36" i="7"/>
  <c r="O29" i="7"/>
  <c r="O45" i="7"/>
  <c r="O30" i="7"/>
  <c r="O46" i="7"/>
  <c r="O35" i="7"/>
  <c r="O51" i="7"/>
  <c r="O23" i="7"/>
  <c r="O40" i="7"/>
  <c r="O33" i="7"/>
  <c r="O49" i="7"/>
  <c r="O34" i="7"/>
  <c r="O50" i="7"/>
  <c r="O22" i="7"/>
  <c r="O39" i="7"/>
  <c r="O28" i="7"/>
  <c r="O44" i="7"/>
  <c r="O37" i="7"/>
  <c r="R24" i="7"/>
  <c r="R21" i="7"/>
  <c r="R27" i="7"/>
  <c r="R22" i="7"/>
  <c r="R19" i="7"/>
  <c r="R17" i="7"/>
  <c r="R15" i="7"/>
  <c r="R13" i="7"/>
  <c r="R11" i="7"/>
  <c r="R9" i="7"/>
  <c r="R7" i="7"/>
  <c r="R5" i="7"/>
  <c r="R28" i="7"/>
  <c r="R25" i="7"/>
  <c r="R20" i="7"/>
  <c r="R29" i="7"/>
  <c r="R26" i="7"/>
  <c r="R23" i="7"/>
  <c r="R18" i="7"/>
  <c r="R16" i="7"/>
  <c r="R14" i="7"/>
  <c r="R12" i="7"/>
  <c r="R10" i="7"/>
  <c r="R8" i="7"/>
  <c r="R6" i="7"/>
  <c r="R44" i="7"/>
  <c r="R33" i="7"/>
  <c r="R49" i="7"/>
  <c r="R38" i="7"/>
  <c r="R31" i="7"/>
  <c r="R47" i="7"/>
  <c r="R32" i="7"/>
  <c r="R48" i="7"/>
  <c r="R37" i="7"/>
  <c r="R42" i="7"/>
  <c r="R35" i="7"/>
  <c r="R51" i="7"/>
  <c r="R36" i="7"/>
  <c r="R41" i="7"/>
  <c r="R30" i="7"/>
  <c r="R46" i="7"/>
  <c r="R39" i="7"/>
  <c r="R40" i="7"/>
  <c r="R45" i="7"/>
  <c r="R34" i="7"/>
  <c r="R50" i="7"/>
  <c r="R43" i="7"/>
  <c r="M38" i="7"/>
  <c r="M8" i="7"/>
  <c r="Z49" i="8"/>
  <c r="Y49" i="23" s="1"/>
  <c r="Y101" i="23" s="1"/>
  <c r="Z45" i="8"/>
  <c r="Y45" i="23" s="1"/>
  <c r="Y97" i="23" s="1"/>
  <c r="Z41" i="8"/>
  <c r="Z37" i="8"/>
  <c r="Y37" i="23" s="1"/>
  <c r="Y89" i="23" s="1"/>
  <c r="Z33" i="8"/>
  <c r="Y33" i="23" s="1"/>
  <c r="Y85" i="23" s="1"/>
  <c r="Z48" i="8"/>
  <c r="Y48" i="23" s="1"/>
  <c r="Y100" i="23" s="1"/>
  <c r="Z44" i="8"/>
  <c r="Y44" i="23" s="1"/>
  <c r="Y96" i="23" s="1"/>
  <c r="Z40" i="8"/>
  <c r="Y40" i="23" s="1"/>
  <c r="Y92" i="23" s="1"/>
  <c r="Z36" i="8"/>
  <c r="Y36" i="23" s="1"/>
  <c r="Y88" i="23" s="1"/>
  <c r="Z51" i="8"/>
  <c r="Y51" i="23" s="1"/>
  <c r="Y103" i="23" s="1"/>
  <c r="Z47" i="8"/>
  <c r="Y47" i="23" s="1"/>
  <c r="Y99" i="23" s="1"/>
  <c r="Z43" i="8"/>
  <c r="Y43" i="23" s="1"/>
  <c r="Y95" i="23" s="1"/>
  <c r="Z39" i="8"/>
  <c r="Y39" i="23" s="1"/>
  <c r="Y91" i="23" s="1"/>
  <c r="Z35" i="8"/>
  <c r="Y35" i="23" s="1"/>
  <c r="Y87" i="23" s="1"/>
  <c r="Z50" i="8"/>
  <c r="Y50" i="23" s="1"/>
  <c r="Y102" i="23" s="1"/>
  <c r="Z46" i="8"/>
  <c r="Y46" i="23" s="1"/>
  <c r="Y98" i="23" s="1"/>
  <c r="Z42" i="8"/>
  <c r="Y42" i="23" s="1"/>
  <c r="Y94" i="23" s="1"/>
  <c r="Z38" i="8"/>
  <c r="Y38" i="23" s="1"/>
  <c r="Y90" i="23" s="1"/>
  <c r="Z34" i="8"/>
  <c r="Y34" i="23" s="1"/>
  <c r="Y86" i="23" s="1"/>
  <c r="Z28" i="8"/>
  <c r="Y28" i="23" s="1"/>
  <c r="Y80" i="23" s="1"/>
  <c r="Z24" i="8"/>
  <c r="Y24" i="23" s="1"/>
  <c r="Y76" i="23" s="1"/>
  <c r="Z20" i="8"/>
  <c r="Y20" i="23" s="1"/>
  <c r="Y72" i="23" s="1"/>
  <c r="Z16" i="8"/>
  <c r="Y16" i="23" s="1"/>
  <c r="Y68" i="23" s="1"/>
  <c r="Z13" i="8"/>
  <c r="Y13" i="23" s="1"/>
  <c r="Y65" i="23" s="1"/>
  <c r="Z8" i="8"/>
  <c r="Y8" i="23" s="1"/>
  <c r="Y60" i="23" s="1"/>
  <c r="Z5" i="8"/>
  <c r="Y5" i="23" s="1"/>
  <c r="Y57" i="23" s="1"/>
  <c r="Z30" i="8"/>
  <c r="Y30" i="23" s="1"/>
  <c r="Y82" i="23" s="1"/>
  <c r="Z27" i="8"/>
  <c r="Y27" i="23" s="1"/>
  <c r="Y79" i="23" s="1"/>
  <c r="Z23" i="8"/>
  <c r="Y23" i="23" s="1"/>
  <c r="Y75" i="23" s="1"/>
  <c r="Z19" i="8"/>
  <c r="Y19" i="23" s="1"/>
  <c r="Z15" i="8"/>
  <c r="Y15" i="23" s="1"/>
  <c r="Y67" i="23" s="1"/>
  <c r="Z10" i="8"/>
  <c r="Y10" i="23" s="1"/>
  <c r="Y62" i="23" s="1"/>
  <c r="Z7" i="8"/>
  <c r="Z32" i="8"/>
  <c r="Y32" i="23" s="1"/>
  <c r="Y84" i="23" s="1"/>
  <c r="Z29" i="8"/>
  <c r="Y29" i="23" s="1"/>
  <c r="Y81" i="23" s="1"/>
  <c r="Z26" i="8"/>
  <c r="Y26" i="23" s="1"/>
  <c r="Y78" i="23" s="1"/>
  <c r="Z22" i="8"/>
  <c r="Y22" i="23" s="1"/>
  <c r="Y74" i="23" s="1"/>
  <c r="Z18" i="8"/>
  <c r="Y18" i="23" s="1"/>
  <c r="Y70" i="23" s="1"/>
  <c r="Z12" i="8"/>
  <c r="Y12" i="23" s="1"/>
  <c r="Y64" i="23" s="1"/>
  <c r="Z9" i="8"/>
  <c r="Y9" i="23" s="1"/>
  <c r="Y61" i="23" s="1"/>
  <c r="Z31" i="8"/>
  <c r="Y31" i="23" s="1"/>
  <c r="Y83" i="23" s="1"/>
  <c r="Z25" i="8"/>
  <c r="Y25" i="23" s="1"/>
  <c r="Y77" i="23" s="1"/>
  <c r="Z21" i="8"/>
  <c r="Y21" i="23" s="1"/>
  <c r="Y73" i="23" s="1"/>
  <c r="Z17" i="8"/>
  <c r="Y17" i="23" s="1"/>
  <c r="Y69" i="23" s="1"/>
  <c r="Z14" i="8"/>
  <c r="Y14" i="23" s="1"/>
  <c r="Y66" i="23" s="1"/>
  <c r="Z11" i="8"/>
  <c r="Y11" i="23" s="1"/>
  <c r="Y63" i="23" s="1"/>
  <c r="Z6" i="8"/>
  <c r="Y6" i="23" s="1"/>
  <c r="Y58" i="23" s="1"/>
  <c r="R15" i="11"/>
  <c r="R7" i="11"/>
  <c r="R10" i="11"/>
  <c r="R6" i="11"/>
  <c r="R9" i="11"/>
  <c r="R5" i="11"/>
  <c r="R8" i="11"/>
  <c r="R24" i="11"/>
  <c r="R40" i="11"/>
  <c r="R21" i="11"/>
  <c r="R37" i="11"/>
  <c r="R26" i="11"/>
  <c r="R27" i="11"/>
  <c r="R11" i="11"/>
  <c r="R28" i="11"/>
  <c r="R25" i="11"/>
  <c r="R41" i="11"/>
  <c r="R13" i="11"/>
  <c r="R30" i="11"/>
  <c r="R14" i="11"/>
  <c r="R31" i="11"/>
  <c r="R16" i="11"/>
  <c r="R32" i="11"/>
  <c r="R12" i="11"/>
  <c r="R29" i="11"/>
  <c r="R18" i="11"/>
  <c r="R34" i="11"/>
  <c r="R19" i="11"/>
  <c r="R35" i="11"/>
  <c r="R20" i="11"/>
  <c r="R36" i="11"/>
  <c r="R17" i="11"/>
  <c r="R33" i="11"/>
  <c r="R22" i="11"/>
  <c r="R38" i="11"/>
  <c r="R23" i="11"/>
  <c r="R39" i="11"/>
  <c r="O47" i="12"/>
  <c r="M15" i="7"/>
  <c r="M9" i="7"/>
  <c r="M5" i="7"/>
  <c r="M16" i="7"/>
  <c r="M10" i="7"/>
  <c r="M6" i="7"/>
  <c r="M25" i="7"/>
  <c r="M14" i="7"/>
  <c r="M12" i="7"/>
  <c r="M13" i="7"/>
  <c r="M24" i="7"/>
  <c r="M51" i="7"/>
  <c r="X51" i="7"/>
  <c r="X49" i="7"/>
  <c r="X47" i="7"/>
  <c r="X45" i="7"/>
  <c r="X43" i="7"/>
  <c r="X50" i="7"/>
  <c r="X48" i="7"/>
  <c r="X46" i="7"/>
  <c r="X44" i="7"/>
  <c r="X42" i="7"/>
  <c r="X40" i="7"/>
  <c r="X38" i="7"/>
  <c r="X36" i="7"/>
  <c r="X34" i="7"/>
  <c r="X31" i="7"/>
  <c r="X27" i="7"/>
  <c r="X22" i="7"/>
  <c r="X19" i="7"/>
  <c r="X17" i="7"/>
  <c r="X15" i="7"/>
  <c r="X13" i="7"/>
  <c r="X11" i="7"/>
  <c r="X9" i="7"/>
  <c r="X7" i="7"/>
  <c r="X5" i="7"/>
  <c r="X32" i="7"/>
  <c r="X28" i="7"/>
  <c r="X25" i="7"/>
  <c r="X20" i="7"/>
  <c r="X41" i="7"/>
  <c r="X39" i="7"/>
  <c r="X37" i="7"/>
  <c r="X35" i="7"/>
  <c r="X33" i="7"/>
  <c r="X29" i="7"/>
  <c r="X26" i="7"/>
  <c r="X23" i="7"/>
  <c r="X18" i="7"/>
  <c r="X16" i="7"/>
  <c r="X14" i="7"/>
  <c r="X12" i="7"/>
  <c r="X10" i="7"/>
  <c r="X8" i="7"/>
  <c r="X6" i="7"/>
  <c r="X30" i="7"/>
  <c r="X24" i="7"/>
  <c r="X21" i="7"/>
  <c r="M21" i="7"/>
  <c r="M36" i="7"/>
  <c r="AH18" i="7"/>
  <c r="AH16" i="7"/>
  <c r="AH14" i="7"/>
  <c r="AH12" i="7"/>
  <c r="AH10" i="7"/>
  <c r="AH8" i="7"/>
  <c r="AH6" i="7"/>
  <c r="AH19" i="7"/>
  <c r="AH25" i="7"/>
  <c r="AH17" i="7"/>
  <c r="AH15" i="7"/>
  <c r="AH13" i="7"/>
  <c r="AH11" i="7"/>
  <c r="AH9" i="7"/>
  <c r="AH7" i="7"/>
  <c r="AH5" i="7"/>
  <c r="AH20" i="7"/>
  <c r="AH36" i="7"/>
  <c r="AH24" i="7"/>
  <c r="AH41" i="7"/>
  <c r="AH30" i="7"/>
  <c r="AH46" i="7"/>
  <c r="AH22" i="7"/>
  <c r="AH39" i="7"/>
  <c r="AH23" i="7"/>
  <c r="AH40" i="7"/>
  <c r="AH29" i="7"/>
  <c r="AH45" i="7"/>
  <c r="AH34" i="7"/>
  <c r="AH50" i="7"/>
  <c r="AH27" i="7"/>
  <c r="AH43" i="7"/>
  <c r="AH28" i="7"/>
  <c r="AH44" i="7"/>
  <c r="AH33" i="7"/>
  <c r="AH49" i="7"/>
  <c r="AH21" i="7"/>
  <c r="AH38" i="7"/>
  <c r="AH31" i="7"/>
  <c r="AH47" i="7"/>
  <c r="AH32" i="7"/>
  <c r="AH48" i="7"/>
  <c r="AH37" i="7"/>
  <c r="AH26" i="7"/>
  <c r="AH42" i="7"/>
  <c r="AH35" i="7"/>
  <c r="AH51" i="7"/>
  <c r="P28" i="7"/>
  <c r="P25" i="7"/>
  <c r="P20" i="7"/>
  <c r="P29" i="7"/>
  <c r="P26" i="7"/>
  <c r="P23" i="7"/>
  <c r="P18" i="7"/>
  <c r="P16" i="7"/>
  <c r="P14" i="7"/>
  <c r="P12" i="7"/>
  <c r="P10" i="7"/>
  <c r="P8" i="7"/>
  <c r="P6" i="7"/>
  <c r="P24" i="7"/>
  <c r="P21" i="7"/>
  <c r="P27" i="7"/>
  <c r="P22" i="7"/>
  <c r="P19" i="7"/>
  <c r="P17" i="7"/>
  <c r="P15" i="7"/>
  <c r="P13" i="7"/>
  <c r="P11" i="7"/>
  <c r="P9" i="7"/>
  <c r="P7" i="7"/>
  <c r="P5" i="7"/>
  <c r="P32" i="7"/>
  <c r="P48" i="7"/>
  <c r="P37" i="7"/>
  <c r="P42" i="7"/>
  <c r="P35" i="7"/>
  <c r="P51" i="7"/>
  <c r="P36" i="7"/>
  <c r="P41" i="7"/>
  <c r="P30" i="7"/>
  <c r="P46" i="7"/>
  <c r="P39" i="7"/>
  <c r="P40" i="7"/>
  <c r="P45" i="7"/>
  <c r="P34" i="7"/>
  <c r="P50" i="7"/>
  <c r="P43" i="7"/>
  <c r="P44" i="7"/>
  <c r="P33" i="7"/>
  <c r="P49" i="7"/>
  <c r="P38" i="7"/>
  <c r="P31" i="7"/>
  <c r="P47" i="7"/>
  <c r="M45" i="7"/>
  <c r="M37" i="7"/>
  <c r="M29" i="7"/>
  <c r="AC19" i="7"/>
  <c r="AC17" i="7"/>
  <c r="AC15" i="7"/>
  <c r="AC13" i="7"/>
  <c r="AC11" i="7"/>
  <c r="AC9" i="7"/>
  <c r="AC7" i="7"/>
  <c r="AC5" i="7"/>
  <c r="AC25" i="7"/>
  <c r="AC20" i="7"/>
  <c r="AC18" i="7"/>
  <c r="AC16" i="7"/>
  <c r="AC14" i="7"/>
  <c r="AC12" i="7"/>
  <c r="AC10" i="7"/>
  <c r="AC8" i="7"/>
  <c r="AC6" i="7"/>
  <c r="AC34" i="7"/>
  <c r="AC50" i="7"/>
  <c r="AC22" i="7"/>
  <c r="AC39" i="7"/>
  <c r="AC28" i="7"/>
  <c r="AC44" i="7"/>
  <c r="AC37" i="7"/>
  <c r="AC21" i="7"/>
  <c r="AC38" i="7"/>
  <c r="AC27" i="7"/>
  <c r="AC43" i="7"/>
  <c r="AC32" i="7"/>
  <c r="AC48" i="7"/>
  <c r="AC24" i="7"/>
  <c r="AC41" i="7"/>
  <c r="AC26" i="7"/>
  <c r="AC42" i="7"/>
  <c r="AC31" i="7"/>
  <c r="AC47" i="7"/>
  <c r="AC36" i="7"/>
  <c r="AC29" i="7"/>
  <c r="AC45" i="7"/>
  <c r="AC30" i="7"/>
  <c r="AC46" i="7"/>
  <c r="AC35" i="7"/>
  <c r="AC51" i="7"/>
  <c r="AC23" i="7"/>
  <c r="AC40" i="7"/>
  <c r="AC33" i="7"/>
  <c r="AC49" i="7"/>
  <c r="M19" i="7"/>
  <c r="M50" i="7"/>
  <c r="M34" i="7"/>
  <c r="V47" i="11"/>
  <c r="V47" i="12"/>
  <c r="T47" i="12"/>
  <c r="P47" i="12"/>
  <c r="Z47" i="11"/>
  <c r="AB56" i="9"/>
  <c r="AB56" i="8"/>
  <c r="AB56" i="7"/>
  <c r="AB58" i="6"/>
  <c r="P13" i="9"/>
  <c r="L11" i="9"/>
  <c r="R48" i="12"/>
  <c r="R47" i="12" s="1"/>
  <c r="R45" i="13"/>
  <c r="R45" i="12"/>
  <c r="R45" i="10"/>
  <c r="R45" i="11"/>
  <c r="R48" i="11" s="1"/>
  <c r="R47" i="11" s="1"/>
  <c r="E37" i="5"/>
  <c r="AL54" i="8"/>
  <c r="AL54" i="9"/>
  <c r="AL54" i="7"/>
  <c r="AL56" i="9"/>
  <c r="AL56" i="8"/>
  <c r="AL56" i="7"/>
  <c r="AL58" i="6"/>
  <c r="AH58" i="8"/>
  <c r="Z48" i="10"/>
  <c r="P48" i="10"/>
  <c r="V48" i="10"/>
  <c r="N48" i="10"/>
  <c r="T48" i="10"/>
  <c r="Y56" i="6"/>
  <c r="V60" i="6"/>
  <c r="V56" i="6"/>
  <c r="D30" i="5"/>
  <c r="M8" i="26" l="1"/>
  <c r="P34" i="23"/>
  <c r="P86" i="23" s="1"/>
  <c r="AD35" i="23"/>
  <c r="AD87" i="23" s="1"/>
  <c r="W47" i="23"/>
  <c r="W99" i="23" s="1"/>
  <c r="AD50" i="23"/>
  <c r="AD102" i="23" s="1"/>
  <c r="W21" i="23"/>
  <c r="W73" i="23" s="1"/>
  <c r="X9" i="9"/>
  <c r="W9" i="23"/>
  <c r="W61" i="23" s="1"/>
  <c r="M25" i="23"/>
  <c r="M77" i="23" s="1"/>
  <c r="M8" i="23"/>
  <c r="M60" i="23" s="1"/>
  <c r="S9" i="24"/>
  <c r="S51" i="24" s="1"/>
  <c r="V46" i="23"/>
  <c r="V98" i="23" s="1"/>
  <c r="L22" i="23"/>
  <c r="L74" i="23" s="1"/>
  <c r="Q48" i="23"/>
  <c r="Q100" i="23" s="1"/>
  <c r="AI30" i="7"/>
  <c r="AI22" i="7"/>
  <c r="AI39" i="7"/>
  <c r="AI15" i="7"/>
  <c r="AI7" i="7"/>
  <c r="AI16" i="7"/>
  <c r="AI8" i="7"/>
  <c r="AI28" i="7"/>
  <c r="AI29" i="7"/>
  <c r="AI45" i="7"/>
  <c r="AI50" i="7"/>
  <c r="AI44" i="7"/>
  <c r="AI34" i="7"/>
  <c r="AI27" i="7"/>
  <c r="AI43" i="7"/>
  <c r="AI19" i="7"/>
  <c r="AI13" i="7"/>
  <c r="AI5" i="7"/>
  <c r="AI14" i="7"/>
  <c r="AI6" i="7"/>
  <c r="AI32" i="7"/>
  <c r="AI33" i="7"/>
  <c r="AI49" i="7"/>
  <c r="AI48" i="7"/>
  <c r="AI21" i="7"/>
  <c r="AI38" i="7"/>
  <c r="AI31" i="7"/>
  <c r="AI47" i="7"/>
  <c r="AI25" i="7"/>
  <c r="AI11" i="7"/>
  <c r="AI20" i="7"/>
  <c r="AI12" i="7"/>
  <c r="AI36" i="7"/>
  <c r="AI37" i="7"/>
  <c r="AI26" i="7"/>
  <c r="AI42" i="7"/>
  <c r="AI35" i="7"/>
  <c r="AI51" i="7"/>
  <c r="AI17" i="7"/>
  <c r="AI9" i="7"/>
  <c r="AI18" i="7"/>
  <c r="AI10" i="7"/>
  <c r="AI23" i="7"/>
  <c r="AI40" i="7"/>
  <c r="AI24" i="7"/>
  <c r="AI41" i="7"/>
  <c r="AI46" i="7"/>
  <c r="M29" i="23"/>
  <c r="M81" i="23" s="1"/>
  <c r="P30" i="23"/>
  <c r="P82" i="23" s="1"/>
  <c r="P19" i="23"/>
  <c r="P71" i="23" s="1"/>
  <c r="AD32" i="23"/>
  <c r="AD84" i="23" s="1"/>
  <c r="AD23" i="23"/>
  <c r="AD75" i="23" s="1"/>
  <c r="AD25" i="23"/>
  <c r="AD77" i="23" s="1"/>
  <c r="W10" i="23"/>
  <c r="W62" i="23" s="1"/>
  <c r="W32" i="23"/>
  <c r="W84" i="23" s="1"/>
  <c r="W42" i="23"/>
  <c r="W94" i="23" s="1"/>
  <c r="M6" i="23"/>
  <c r="M58" i="23" s="1"/>
  <c r="Q19" i="24"/>
  <c r="Q61" i="24" s="1"/>
  <c r="Q26" i="24"/>
  <c r="Q68" i="24" s="1"/>
  <c r="Y41" i="23"/>
  <c r="Y93" i="23" s="1"/>
  <c r="M22" i="24"/>
  <c r="M64" i="24" s="1"/>
  <c r="M13" i="24"/>
  <c r="M55" i="24" s="1"/>
  <c r="M6" i="24"/>
  <c r="M48" i="24" s="1"/>
  <c r="S23" i="24"/>
  <c r="S65" i="24" s="1"/>
  <c r="S18" i="24"/>
  <c r="S60" i="24" s="1"/>
  <c r="V10" i="23"/>
  <c r="V62" i="23" s="1"/>
  <c r="V32" i="23"/>
  <c r="V84" i="23" s="1"/>
  <c r="V42" i="23"/>
  <c r="V94" i="23" s="1"/>
  <c r="O29" i="24"/>
  <c r="O71" i="24" s="1"/>
  <c r="O21" i="24"/>
  <c r="O63" i="24" s="1"/>
  <c r="O8" i="24"/>
  <c r="O50" i="24" s="1"/>
  <c r="P9" i="25"/>
  <c r="P7" i="25"/>
  <c r="G6" i="25"/>
  <c r="B8" i="25"/>
  <c r="M40" i="24"/>
  <c r="M82" i="24" s="1"/>
  <c r="V31" i="23"/>
  <c r="V83" i="23" s="1"/>
  <c r="T10" i="23"/>
  <c r="T62" i="23" s="1"/>
  <c r="Q38" i="24"/>
  <c r="Q80" i="24" s="1"/>
  <c r="Q30" i="24"/>
  <c r="Q72" i="24" s="1"/>
  <c r="Q10" i="24"/>
  <c r="Q52" i="24" s="1"/>
  <c r="O23" i="24"/>
  <c r="O65" i="24" s="1"/>
  <c r="O34" i="24"/>
  <c r="O76" i="24" s="1"/>
  <c r="P6" i="25"/>
  <c r="I6" i="25"/>
  <c r="P11" i="25"/>
  <c r="Q6" i="25"/>
  <c r="E6" i="26"/>
  <c r="M6" i="26" s="1"/>
  <c r="J8" i="25"/>
  <c r="L8" i="25"/>
  <c r="S29" i="24"/>
  <c r="S71" i="24" s="1"/>
  <c r="V39" i="23"/>
  <c r="V91" i="23" s="1"/>
  <c r="O30" i="24"/>
  <c r="O72" i="24" s="1"/>
  <c r="P8" i="23"/>
  <c r="P60" i="23" s="1"/>
  <c r="Q16" i="24"/>
  <c r="Q58" i="24" s="1"/>
  <c r="Q5" i="24"/>
  <c r="Q47" i="24" s="1"/>
  <c r="Y7" i="23"/>
  <c r="Y59" i="23" s="1"/>
  <c r="O7" i="25" s="1"/>
  <c r="V37" i="23"/>
  <c r="V89" i="23" s="1"/>
  <c r="V27" i="23"/>
  <c r="V79" i="23" s="1"/>
  <c r="V44" i="23"/>
  <c r="V96" i="23" s="1"/>
  <c r="O11" i="24"/>
  <c r="O53" i="24" s="1"/>
  <c r="O36" i="24"/>
  <c r="O78" i="24" s="1"/>
  <c r="L42" i="23"/>
  <c r="L94" i="23" s="1"/>
  <c r="Q49" i="23"/>
  <c r="Q101" i="23" s="1"/>
  <c r="Q17" i="23"/>
  <c r="Q69" i="23" s="1"/>
  <c r="Q9" i="23"/>
  <c r="Q61" i="23" s="1"/>
  <c r="P10" i="25"/>
  <c r="I10" i="25"/>
  <c r="M6" i="25"/>
  <c r="Q10" i="25"/>
  <c r="W6" i="25"/>
  <c r="E6" i="25"/>
  <c r="E10" i="26"/>
  <c r="M10" i="26" s="1"/>
  <c r="AA53" i="8"/>
  <c r="L44" i="13"/>
  <c r="L44" i="12"/>
  <c r="L48" i="12" s="1"/>
  <c r="L44" i="11"/>
  <c r="L48" i="11" s="1"/>
  <c r="L44" i="10"/>
  <c r="AD49" i="7"/>
  <c r="AC49" i="9"/>
  <c r="AD49" i="9" s="1"/>
  <c r="AD51" i="7"/>
  <c r="AC51" i="9"/>
  <c r="AD51" i="9" s="1"/>
  <c r="AD45" i="7"/>
  <c r="AC45" i="9"/>
  <c r="AD45" i="9" s="1"/>
  <c r="AD31" i="7"/>
  <c r="AC31" i="9"/>
  <c r="AD31" i="9" s="1"/>
  <c r="AD24" i="7"/>
  <c r="AC24" i="9"/>
  <c r="AD24" i="9" s="1"/>
  <c r="AD27" i="7"/>
  <c r="AC27" i="9"/>
  <c r="AD27" i="9" s="1"/>
  <c r="AD44" i="7"/>
  <c r="AC44" i="9"/>
  <c r="AD44" i="9" s="1"/>
  <c r="AD50" i="7"/>
  <c r="AC50" i="9"/>
  <c r="AD50" i="9" s="1"/>
  <c r="AD10" i="7"/>
  <c r="AC10" i="9"/>
  <c r="AD10" i="9" s="1"/>
  <c r="AD18" i="7"/>
  <c r="AC18" i="9"/>
  <c r="AD18" i="9" s="1"/>
  <c r="AD7" i="7"/>
  <c r="AC7" i="9"/>
  <c r="AD7" i="9" s="1"/>
  <c r="AD15" i="7"/>
  <c r="AC15" i="9"/>
  <c r="AD15" i="9" s="1"/>
  <c r="M37" i="9"/>
  <c r="P38" i="9"/>
  <c r="P43" i="9"/>
  <c r="P40" i="9"/>
  <c r="P41" i="9"/>
  <c r="P42" i="9"/>
  <c r="P5" i="9"/>
  <c r="P53" i="7"/>
  <c r="P58" i="7" s="1"/>
  <c r="P43" i="8" s="1"/>
  <c r="P43" i="23" s="1"/>
  <c r="P95" i="23" s="1"/>
  <c r="P22" i="9"/>
  <c r="P6" i="9"/>
  <c r="P14" i="9"/>
  <c r="P26" i="9"/>
  <c r="P28" i="9"/>
  <c r="AH26" i="9"/>
  <c r="AH47" i="9"/>
  <c r="AH49" i="9"/>
  <c r="AH43" i="9"/>
  <c r="AH45" i="9"/>
  <c r="AH39" i="9"/>
  <c r="AH41" i="9"/>
  <c r="AH5" i="9"/>
  <c r="AH53" i="7"/>
  <c r="AH58" i="7" s="1"/>
  <c r="AH47" i="8" s="1"/>
  <c r="AD47" i="23" s="1"/>
  <c r="AD99" i="23" s="1"/>
  <c r="AH13" i="9"/>
  <c r="AH19" i="9"/>
  <c r="AH12" i="9"/>
  <c r="M36" i="9"/>
  <c r="X30" i="9"/>
  <c r="X12" i="9"/>
  <c r="X23" i="9"/>
  <c r="X35" i="9"/>
  <c r="X20" i="9"/>
  <c r="X5" i="9"/>
  <c r="X53" i="7"/>
  <c r="X58" i="7" s="1"/>
  <c r="X13" i="8" s="1"/>
  <c r="W13" i="23" s="1"/>
  <c r="W65" i="23" s="1"/>
  <c r="X13" i="9"/>
  <c r="X22" i="9"/>
  <c r="X36" i="9"/>
  <c r="X44" i="9"/>
  <c r="X43" i="9"/>
  <c r="X51" i="9"/>
  <c r="M12" i="9"/>
  <c r="M10" i="9"/>
  <c r="M15" i="9"/>
  <c r="R38" i="12"/>
  <c r="S38" i="12" s="1"/>
  <c r="S38" i="11"/>
  <c r="R38" i="13"/>
  <c r="S38" i="13" s="1"/>
  <c r="R36" i="12"/>
  <c r="S36" i="12" s="1"/>
  <c r="S36" i="11"/>
  <c r="R36" i="13"/>
  <c r="S36" i="13" s="1"/>
  <c r="R34" i="12"/>
  <c r="S34" i="12" s="1"/>
  <c r="S34" i="11"/>
  <c r="R34" i="13"/>
  <c r="S34" i="13" s="1"/>
  <c r="R32" i="12"/>
  <c r="S32" i="12" s="1"/>
  <c r="S32" i="11"/>
  <c r="R32" i="13"/>
  <c r="S32" i="13" s="1"/>
  <c r="R30" i="12"/>
  <c r="S30" i="12" s="1"/>
  <c r="S30" i="11"/>
  <c r="R30" i="13"/>
  <c r="S30" i="13" s="1"/>
  <c r="R28" i="12"/>
  <c r="S28" i="12" s="1"/>
  <c r="S28" i="11"/>
  <c r="R28" i="13"/>
  <c r="S28" i="13" s="1"/>
  <c r="R37" i="12"/>
  <c r="S37" i="12" s="1"/>
  <c r="S37" i="11"/>
  <c r="R37" i="13"/>
  <c r="S37" i="13" s="1"/>
  <c r="R8" i="12"/>
  <c r="S8" i="12" s="1"/>
  <c r="S8" i="11"/>
  <c r="R8" i="13"/>
  <c r="S8" i="13" s="1"/>
  <c r="R10" i="12"/>
  <c r="S10" i="12" s="1"/>
  <c r="S10" i="11"/>
  <c r="R10" i="13"/>
  <c r="S10" i="13" s="1"/>
  <c r="Z53" i="8"/>
  <c r="R43" i="9"/>
  <c r="R40" i="9"/>
  <c r="R41" i="9"/>
  <c r="R42" i="9"/>
  <c r="R47" i="9"/>
  <c r="R33" i="9"/>
  <c r="R10" i="9"/>
  <c r="R18" i="9"/>
  <c r="R20" i="9"/>
  <c r="R7" i="9"/>
  <c r="R15" i="9"/>
  <c r="R27" i="9"/>
  <c r="O44" i="9"/>
  <c r="O50" i="9"/>
  <c r="O40" i="9"/>
  <c r="O46" i="9"/>
  <c r="O36" i="9"/>
  <c r="O26" i="9"/>
  <c r="O32" i="9"/>
  <c r="O21" i="9"/>
  <c r="O12" i="9"/>
  <c r="O20" i="9"/>
  <c r="O9" i="9"/>
  <c r="O17" i="9"/>
  <c r="M47" i="9"/>
  <c r="M23" i="9"/>
  <c r="M41" i="12"/>
  <c r="M41" i="24" s="1"/>
  <c r="M83" i="24" s="1"/>
  <c r="M41" i="13"/>
  <c r="M35" i="12"/>
  <c r="M35" i="13"/>
  <c r="M35" i="24" s="1"/>
  <c r="M77" i="24" s="1"/>
  <c r="M37" i="12"/>
  <c r="M37" i="24" s="1"/>
  <c r="M79" i="24" s="1"/>
  <c r="M37" i="13"/>
  <c r="M31" i="12"/>
  <c r="M31" i="24" s="1"/>
  <c r="M73" i="24" s="1"/>
  <c r="M31" i="13"/>
  <c r="M33" i="12"/>
  <c r="M33" i="24" s="1"/>
  <c r="M75" i="24" s="1"/>
  <c r="M33" i="13"/>
  <c r="M27" i="12"/>
  <c r="M27" i="13"/>
  <c r="M27" i="24" s="1"/>
  <c r="M69" i="24" s="1"/>
  <c r="M32" i="12"/>
  <c r="M32" i="24" s="1"/>
  <c r="M74" i="24" s="1"/>
  <c r="M32" i="13"/>
  <c r="M8" i="12"/>
  <c r="M8" i="24" s="1"/>
  <c r="M50" i="24" s="1"/>
  <c r="M8" i="13"/>
  <c r="M10" i="12"/>
  <c r="M10" i="24" s="1"/>
  <c r="M52" i="24" s="1"/>
  <c r="M10" i="13"/>
  <c r="U40" i="12"/>
  <c r="U40" i="13"/>
  <c r="S40" i="24" s="1"/>
  <c r="S82" i="24" s="1"/>
  <c r="U13" i="12"/>
  <c r="S13" i="24" s="1"/>
  <c r="S55" i="24" s="1"/>
  <c r="U13" i="13"/>
  <c r="U36" i="12"/>
  <c r="S36" i="24" s="1"/>
  <c r="S78" i="24" s="1"/>
  <c r="U36" i="13"/>
  <c r="U26" i="12"/>
  <c r="S26" i="24" s="1"/>
  <c r="S68" i="24" s="1"/>
  <c r="U26" i="13"/>
  <c r="U16" i="12"/>
  <c r="U16" i="13"/>
  <c r="S16" i="24" s="1"/>
  <c r="S58" i="24" s="1"/>
  <c r="U22" i="12"/>
  <c r="S22" i="24" s="1"/>
  <c r="S64" i="24" s="1"/>
  <c r="U22" i="13"/>
  <c r="U31" i="12"/>
  <c r="S31" i="24" s="1"/>
  <c r="S73" i="24" s="1"/>
  <c r="U31" i="13"/>
  <c r="U25" i="12"/>
  <c r="S25" i="24" s="1"/>
  <c r="S67" i="24" s="1"/>
  <c r="U25" i="13"/>
  <c r="U10" i="12"/>
  <c r="U10" i="13"/>
  <c r="S10" i="24" s="1"/>
  <c r="S52" i="24" s="1"/>
  <c r="M26" i="9"/>
  <c r="M49" i="9"/>
  <c r="W12" i="9"/>
  <c r="W23" i="9"/>
  <c r="W35" i="9"/>
  <c r="W20" i="9"/>
  <c r="W53" i="7"/>
  <c r="W58" i="7" s="1"/>
  <c r="W35" i="8" s="1"/>
  <c r="V35" i="23" s="1"/>
  <c r="V87" i="23" s="1"/>
  <c r="W5" i="9"/>
  <c r="W13" i="9"/>
  <c r="W22" i="9"/>
  <c r="W36" i="9"/>
  <c r="W21" i="9"/>
  <c r="W43" i="9"/>
  <c r="W51" i="9"/>
  <c r="M28" i="9"/>
  <c r="O12" i="12"/>
  <c r="O12" i="24" s="1"/>
  <c r="O54" i="24" s="1"/>
  <c r="O12" i="13"/>
  <c r="O23" i="12"/>
  <c r="O23" i="13"/>
  <c r="O28" i="12"/>
  <c r="O28" i="24" s="1"/>
  <c r="O70" i="24" s="1"/>
  <c r="O28" i="13"/>
  <c r="O38" i="12"/>
  <c r="O38" i="24" s="1"/>
  <c r="O80" i="24" s="1"/>
  <c r="O38" i="13"/>
  <c r="O40" i="12"/>
  <c r="O40" i="24" s="1"/>
  <c r="O82" i="24" s="1"/>
  <c r="O40" i="13"/>
  <c r="O34" i="12"/>
  <c r="O34" i="13"/>
  <c r="O17" i="12"/>
  <c r="O17" i="24" s="1"/>
  <c r="O59" i="24" s="1"/>
  <c r="O17" i="13"/>
  <c r="O6" i="12"/>
  <c r="O6" i="24" s="1"/>
  <c r="O48" i="24" s="1"/>
  <c r="O6" i="13"/>
  <c r="O5" i="12"/>
  <c r="O5" i="24" s="1"/>
  <c r="O47" i="24" s="1"/>
  <c r="O5" i="13"/>
  <c r="O43" i="11"/>
  <c r="M11" i="9"/>
  <c r="U11" i="9"/>
  <c r="U19" i="9"/>
  <c r="U34" i="9"/>
  <c r="U42" i="9"/>
  <c r="U6" i="9"/>
  <c r="U14" i="9"/>
  <c r="U26" i="9"/>
  <c r="U37" i="9"/>
  <c r="U25" i="9"/>
  <c r="U44" i="9"/>
  <c r="U43" i="9"/>
  <c r="M27" i="9"/>
  <c r="L35" i="9"/>
  <c r="L48" i="9"/>
  <c r="L38" i="9"/>
  <c r="L44" i="9"/>
  <c r="L50" i="9"/>
  <c r="L40" i="9"/>
  <c r="L46" i="9"/>
  <c r="L36" i="9"/>
  <c r="L13" i="9"/>
  <c r="L21" i="9"/>
  <c r="L10" i="9"/>
  <c r="L26" i="9"/>
  <c r="M17" i="9"/>
  <c r="Q12" i="9"/>
  <c r="Q30" i="9"/>
  <c r="Q47" i="9"/>
  <c r="Q41" i="9"/>
  <c r="Q43" i="9"/>
  <c r="Q37" i="9"/>
  <c r="Q11" i="9"/>
  <c r="Q5" i="8"/>
  <c r="Q5" i="23" s="1"/>
  <c r="Q57" i="23" s="1"/>
  <c r="Q5" i="9"/>
  <c r="Q53" i="7"/>
  <c r="Q58" i="7" s="1"/>
  <c r="Q22" i="8" s="1"/>
  <c r="Q22" i="23" s="1"/>
  <c r="Q74" i="23" s="1"/>
  <c r="Q22" i="9"/>
  <c r="Q6" i="8"/>
  <c r="Q6" i="23" s="1"/>
  <c r="Q58" i="23" s="1"/>
  <c r="Q6" i="9"/>
  <c r="Q16" i="9"/>
  <c r="V50" i="7"/>
  <c r="V48" i="7"/>
  <c r="V46" i="7"/>
  <c r="V44" i="7"/>
  <c r="V51" i="7"/>
  <c r="V49" i="7"/>
  <c r="V47" i="7"/>
  <c r="V45" i="7"/>
  <c r="V43" i="7"/>
  <c r="V41" i="7"/>
  <c r="V39" i="7"/>
  <c r="V37" i="7"/>
  <c r="V35" i="7"/>
  <c r="V33" i="7"/>
  <c r="V29" i="7"/>
  <c r="V26" i="7"/>
  <c r="V23" i="7"/>
  <c r="V18" i="7"/>
  <c r="V16" i="7"/>
  <c r="V14" i="7"/>
  <c r="V12" i="7"/>
  <c r="V10" i="7"/>
  <c r="V8" i="7"/>
  <c r="V6" i="7"/>
  <c r="V30" i="7"/>
  <c r="V24" i="7"/>
  <c r="V21" i="7"/>
  <c r="V42" i="7"/>
  <c r="V40" i="7"/>
  <c r="V38" i="7"/>
  <c r="V36" i="7"/>
  <c r="V34" i="7"/>
  <c r="V31" i="7"/>
  <c r="V27" i="7"/>
  <c r="V22" i="7"/>
  <c r="V19" i="7"/>
  <c r="V17" i="7"/>
  <c r="V15" i="7"/>
  <c r="V13" i="7"/>
  <c r="V11" i="7"/>
  <c r="V9" i="7"/>
  <c r="V7" i="7"/>
  <c r="V5" i="7"/>
  <c r="V32" i="7"/>
  <c r="V28" i="7"/>
  <c r="V25" i="7"/>
  <c r="V20" i="7"/>
  <c r="Y60" i="6"/>
  <c r="Y54" i="8"/>
  <c r="Y58" i="8" s="1"/>
  <c r="Y54" i="9"/>
  <c r="Y54" i="7"/>
  <c r="P15" i="11"/>
  <c r="P8" i="11"/>
  <c r="P7" i="11"/>
  <c r="P10" i="11"/>
  <c r="P6" i="11"/>
  <c r="P9" i="11"/>
  <c r="P5" i="11"/>
  <c r="P22" i="11"/>
  <c r="P38" i="11"/>
  <c r="P19" i="11"/>
  <c r="P35" i="11"/>
  <c r="P24" i="11"/>
  <c r="P40" i="11"/>
  <c r="P25" i="11"/>
  <c r="P41" i="11"/>
  <c r="P26" i="11"/>
  <c r="P23" i="11"/>
  <c r="P39" i="11"/>
  <c r="P11" i="11"/>
  <c r="P28" i="11"/>
  <c r="P12" i="11"/>
  <c r="P29" i="11"/>
  <c r="P13" i="11"/>
  <c r="P30" i="11"/>
  <c r="P27" i="11"/>
  <c r="P16" i="11"/>
  <c r="P32" i="11"/>
  <c r="P17" i="11"/>
  <c r="P33" i="11"/>
  <c r="P18" i="11"/>
  <c r="P34" i="11"/>
  <c r="P14" i="11"/>
  <c r="P31" i="11"/>
  <c r="P20" i="11"/>
  <c r="P36" i="11"/>
  <c r="P21" i="11"/>
  <c r="P37" i="11"/>
  <c r="V54" i="8"/>
  <c r="V58" i="8" s="1"/>
  <c r="V54" i="9"/>
  <c r="V54" i="7"/>
  <c r="T15" i="11"/>
  <c r="T9" i="11"/>
  <c r="T5" i="11"/>
  <c r="T8" i="11"/>
  <c r="T7" i="11"/>
  <c r="T10" i="11"/>
  <c r="T6" i="11"/>
  <c r="T26" i="11"/>
  <c r="T23" i="11"/>
  <c r="T39" i="11"/>
  <c r="T16" i="11"/>
  <c r="T32" i="11"/>
  <c r="T12" i="11"/>
  <c r="T29" i="11"/>
  <c r="T38" i="11"/>
  <c r="T13" i="11"/>
  <c r="T30" i="11"/>
  <c r="T27" i="11"/>
  <c r="T20" i="11"/>
  <c r="T36" i="11"/>
  <c r="T17" i="11"/>
  <c r="T33" i="11"/>
  <c r="T18" i="11"/>
  <c r="T34" i="11"/>
  <c r="T14" i="11"/>
  <c r="T31" i="11"/>
  <c r="T11" i="11"/>
  <c r="T24" i="11"/>
  <c r="T40" i="11"/>
  <c r="T21" i="11"/>
  <c r="T37" i="11"/>
  <c r="T22" i="11"/>
  <c r="T19" i="11"/>
  <c r="T35" i="11"/>
  <c r="T28" i="11"/>
  <c r="T25" i="11"/>
  <c r="T41" i="11"/>
  <c r="Z15" i="11"/>
  <c r="Z8" i="11"/>
  <c r="Z7" i="11"/>
  <c r="Z10" i="11"/>
  <c r="Z6" i="11"/>
  <c r="Z9" i="11"/>
  <c r="Z5" i="11"/>
  <c r="Z11" i="11"/>
  <c r="Z26" i="11"/>
  <c r="Z19" i="11"/>
  <c r="Z35" i="11"/>
  <c r="Z20" i="11"/>
  <c r="Z36" i="11"/>
  <c r="Z17" i="11"/>
  <c r="Z33" i="11"/>
  <c r="Z13" i="11"/>
  <c r="Z30" i="11"/>
  <c r="Z23" i="11"/>
  <c r="Z39" i="11"/>
  <c r="Z24" i="11"/>
  <c r="Z40" i="11"/>
  <c r="Z21" i="11"/>
  <c r="Z37" i="11"/>
  <c r="Z18" i="11"/>
  <c r="Z34" i="11"/>
  <c r="Z27" i="11"/>
  <c r="Z28" i="11"/>
  <c r="Z25" i="11"/>
  <c r="Z41" i="11"/>
  <c r="Z22" i="11"/>
  <c r="Z38" i="11"/>
  <c r="Z14" i="11"/>
  <c r="Z31" i="11"/>
  <c r="Z16" i="11"/>
  <c r="Z32" i="11"/>
  <c r="Z12" i="11"/>
  <c r="Z29" i="11"/>
  <c r="S45" i="13"/>
  <c r="S45" i="12"/>
  <c r="S45" i="10"/>
  <c r="S45" i="11"/>
  <c r="M34" i="9"/>
  <c r="AD33" i="7"/>
  <c r="AC33" i="9"/>
  <c r="AD33" i="9" s="1"/>
  <c r="AD35" i="7"/>
  <c r="AC35" i="9"/>
  <c r="AD35" i="9" s="1"/>
  <c r="AD29" i="7"/>
  <c r="AC29" i="9"/>
  <c r="AD29" i="9" s="1"/>
  <c r="AD42" i="7"/>
  <c r="AC42" i="9"/>
  <c r="AD42" i="9" s="1"/>
  <c r="AD48" i="7"/>
  <c r="AC48" i="9"/>
  <c r="AD48" i="9" s="1"/>
  <c r="AD38" i="7"/>
  <c r="AC38" i="9"/>
  <c r="AD38" i="9" s="1"/>
  <c r="AD28" i="7"/>
  <c r="AC28" i="9"/>
  <c r="AD28" i="9" s="1"/>
  <c r="AD34" i="7"/>
  <c r="AC34" i="9"/>
  <c r="AD34" i="9" s="1"/>
  <c r="AD12" i="7"/>
  <c r="AC12" i="9"/>
  <c r="AD12" i="9" s="1"/>
  <c r="AD20" i="7"/>
  <c r="AC20" i="9"/>
  <c r="AD20" i="9" s="1"/>
  <c r="AD9" i="7"/>
  <c r="AC9" i="9"/>
  <c r="AD9" i="9" s="1"/>
  <c r="AD17" i="7"/>
  <c r="AC17" i="9"/>
  <c r="AD17" i="9" s="1"/>
  <c r="M45" i="9"/>
  <c r="P49" i="8"/>
  <c r="P49" i="23" s="1"/>
  <c r="P101" i="23" s="1"/>
  <c r="P49" i="9"/>
  <c r="P50" i="8"/>
  <c r="P50" i="23" s="1"/>
  <c r="P102" i="23" s="1"/>
  <c r="P50" i="9"/>
  <c r="P39" i="8"/>
  <c r="P39" i="23" s="1"/>
  <c r="P91" i="23" s="1"/>
  <c r="P39" i="9"/>
  <c r="P36" i="8"/>
  <c r="P36" i="23" s="1"/>
  <c r="P88" i="23" s="1"/>
  <c r="P36" i="9"/>
  <c r="P37" i="8"/>
  <c r="P37" i="23" s="1"/>
  <c r="P89" i="23" s="1"/>
  <c r="P37" i="9"/>
  <c r="P7" i="8"/>
  <c r="P7" i="23" s="1"/>
  <c r="P59" i="23" s="1"/>
  <c r="P7" i="9"/>
  <c r="P15" i="8"/>
  <c r="P15" i="23" s="1"/>
  <c r="P67" i="23" s="1"/>
  <c r="P15" i="9"/>
  <c r="P27" i="8"/>
  <c r="P27" i="9"/>
  <c r="P8" i="8"/>
  <c r="P8" i="9"/>
  <c r="P16" i="8"/>
  <c r="P16" i="23" s="1"/>
  <c r="P68" i="23" s="1"/>
  <c r="P16" i="9"/>
  <c r="P29" i="8"/>
  <c r="P29" i="9"/>
  <c r="AH51" i="8"/>
  <c r="AD51" i="23" s="1"/>
  <c r="AD103" i="23" s="1"/>
  <c r="AH51" i="9"/>
  <c r="AH37" i="8"/>
  <c r="AD37" i="23" s="1"/>
  <c r="AD89" i="23" s="1"/>
  <c r="AH37" i="9"/>
  <c r="AH31" i="8"/>
  <c r="AD31" i="23" s="1"/>
  <c r="AD83" i="23" s="1"/>
  <c r="AH31" i="9"/>
  <c r="AH33" i="8"/>
  <c r="AD33" i="23" s="1"/>
  <c r="AD85" i="23" s="1"/>
  <c r="AH33" i="9"/>
  <c r="AH27" i="8"/>
  <c r="AD27" i="23" s="1"/>
  <c r="AD79" i="23" s="1"/>
  <c r="AH27" i="9"/>
  <c r="AH29" i="8"/>
  <c r="AD29" i="23" s="1"/>
  <c r="AD81" i="23" s="1"/>
  <c r="AH29" i="9"/>
  <c r="AH22" i="8"/>
  <c r="AD22" i="23" s="1"/>
  <c r="AD74" i="23" s="1"/>
  <c r="AH22" i="9"/>
  <c r="AH24" i="8"/>
  <c r="AD24" i="23" s="1"/>
  <c r="AD76" i="23" s="1"/>
  <c r="AH24" i="9"/>
  <c r="AH7" i="8"/>
  <c r="AD7" i="23" s="1"/>
  <c r="AD59" i="23" s="1"/>
  <c r="AH7" i="9"/>
  <c r="AH15" i="8"/>
  <c r="AD15" i="23" s="1"/>
  <c r="AD67" i="23" s="1"/>
  <c r="AH15" i="9"/>
  <c r="AH6" i="8"/>
  <c r="AD6" i="23" s="1"/>
  <c r="AD58" i="23" s="1"/>
  <c r="AH6" i="9"/>
  <c r="AH14" i="8"/>
  <c r="AD14" i="23" s="1"/>
  <c r="AD66" i="23" s="1"/>
  <c r="AH14" i="9"/>
  <c r="M21" i="9"/>
  <c r="X6" i="8"/>
  <c r="W6" i="23" s="1"/>
  <c r="W58" i="23" s="1"/>
  <c r="X6" i="9"/>
  <c r="X14" i="8"/>
  <c r="X14" i="9"/>
  <c r="W14" i="23" s="1"/>
  <c r="W66" i="23" s="1"/>
  <c r="X26" i="8"/>
  <c r="W26" i="23" s="1"/>
  <c r="W78" i="23" s="1"/>
  <c r="X26" i="9"/>
  <c r="X37" i="8"/>
  <c r="W37" i="23" s="1"/>
  <c r="W89" i="23" s="1"/>
  <c r="X37" i="9"/>
  <c r="X25" i="8"/>
  <c r="W25" i="23" s="1"/>
  <c r="W77" i="23" s="1"/>
  <c r="X25" i="9"/>
  <c r="X7" i="8"/>
  <c r="X7" i="9"/>
  <c r="W7" i="23" s="1"/>
  <c r="W59" i="23" s="1"/>
  <c r="X15" i="8"/>
  <c r="W15" i="23" s="1"/>
  <c r="W67" i="23" s="1"/>
  <c r="X15" i="9"/>
  <c r="X27" i="8"/>
  <c r="W27" i="23" s="1"/>
  <c r="W79" i="23" s="1"/>
  <c r="X27" i="9"/>
  <c r="X38" i="8"/>
  <c r="W38" i="23" s="1"/>
  <c r="W90" i="23" s="1"/>
  <c r="X38" i="9"/>
  <c r="X46" i="8"/>
  <c r="X46" i="9"/>
  <c r="W46" i="23" s="1"/>
  <c r="W98" i="23" s="1"/>
  <c r="X45" i="8"/>
  <c r="W45" i="23" s="1"/>
  <c r="W97" i="23" s="1"/>
  <c r="X45" i="9"/>
  <c r="M51" i="9"/>
  <c r="M14" i="9"/>
  <c r="M16" i="9"/>
  <c r="R22" i="12"/>
  <c r="S22" i="12" s="1"/>
  <c r="S22" i="11"/>
  <c r="R22" i="13"/>
  <c r="S22" i="13" s="1"/>
  <c r="R20" i="12"/>
  <c r="S20" i="12" s="1"/>
  <c r="S20" i="11"/>
  <c r="R20" i="13"/>
  <c r="S20" i="13" s="1"/>
  <c r="R18" i="12"/>
  <c r="S18" i="12" s="1"/>
  <c r="S18" i="11"/>
  <c r="R18" i="13"/>
  <c r="S18" i="13" s="1"/>
  <c r="R16" i="12"/>
  <c r="S16" i="12" s="1"/>
  <c r="S16" i="11"/>
  <c r="R16" i="13"/>
  <c r="S16" i="13" s="1"/>
  <c r="R13" i="12"/>
  <c r="S13" i="12" s="1"/>
  <c r="S13" i="11"/>
  <c r="R13" i="13"/>
  <c r="S13" i="13" s="1"/>
  <c r="R11" i="12"/>
  <c r="S11" i="12" s="1"/>
  <c r="S11" i="11"/>
  <c r="R11" i="13"/>
  <c r="S11" i="13" s="1"/>
  <c r="R21" i="12"/>
  <c r="S21" i="12" s="1"/>
  <c r="S21" i="11"/>
  <c r="R21" i="13"/>
  <c r="S21" i="13" s="1"/>
  <c r="R5" i="12"/>
  <c r="S5" i="11"/>
  <c r="R5" i="13"/>
  <c r="R43" i="11"/>
  <c r="R7" i="12"/>
  <c r="S7" i="12" s="1"/>
  <c r="S7" i="11"/>
  <c r="R7" i="13"/>
  <c r="S7" i="13" s="1"/>
  <c r="R50" i="9"/>
  <c r="R39" i="9"/>
  <c r="R36" i="9"/>
  <c r="R37" i="9"/>
  <c r="R31" i="9"/>
  <c r="R44" i="9"/>
  <c r="R12" i="9"/>
  <c r="R23" i="9"/>
  <c r="R25" i="9"/>
  <c r="R9" i="9"/>
  <c r="R17" i="9"/>
  <c r="R21" i="9"/>
  <c r="O28" i="9"/>
  <c r="O34" i="9"/>
  <c r="O23" i="9"/>
  <c r="O30" i="9"/>
  <c r="O47" i="9"/>
  <c r="O41" i="9"/>
  <c r="O43" i="9"/>
  <c r="O6" i="9"/>
  <c r="O14" i="9"/>
  <c r="O25" i="9"/>
  <c r="O11" i="9"/>
  <c r="O19" i="9"/>
  <c r="M18" i="9"/>
  <c r="M25" i="12"/>
  <c r="M25" i="24" s="1"/>
  <c r="M67" i="24" s="1"/>
  <c r="M25" i="13"/>
  <c r="M19" i="12"/>
  <c r="M19" i="24" s="1"/>
  <c r="M61" i="24" s="1"/>
  <c r="M19" i="13"/>
  <c r="M21" i="12"/>
  <c r="M21" i="13"/>
  <c r="M21" i="24" s="1"/>
  <c r="M63" i="24" s="1"/>
  <c r="M14" i="12"/>
  <c r="M14" i="24" s="1"/>
  <c r="M56" i="24" s="1"/>
  <c r="M14" i="13"/>
  <c r="M17" i="12"/>
  <c r="M17" i="24" s="1"/>
  <c r="M59" i="24" s="1"/>
  <c r="M17" i="13"/>
  <c r="M26" i="12"/>
  <c r="M26" i="24" s="1"/>
  <c r="M68" i="24" s="1"/>
  <c r="M26" i="13"/>
  <c r="M16" i="12"/>
  <c r="M16" i="13"/>
  <c r="M16" i="24" s="1"/>
  <c r="M58" i="24" s="1"/>
  <c r="M5" i="12"/>
  <c r="M5" i="24" s="1"/>
  <c r="M47" i="24" s="1"/>
  <c r="M43" i="11"/>
  <c r="M5" i="13"/>
  <c r="M7" i="12"/>
  <c r="M7" i="24" s="1"/>
  <c r="M49" i="24" s="1"/>
  <c r="M7" i="13"/>
  <c r="U24" i="12"/>
  <c r="S24" i="24" s="1"/>
  <c r="S66" i="24" s="1"/>
  <c r="U24" i="13"/>
  <c r="U21" i="12"/>
  <c r="S21" i="24" s="1"/>
  <c r="S63" i="24" s="1"/>
  <c r="U21" i="13"/>
  <c r="U20" i="12"/>
  <c r="S20" i="24" s="1"/>
  <c r="S62" i="24" s="1"/>
  <c r="U20" i="13"/>
  <c r="U17" i="12"/>
  <c r="S17" i="24" s="1"/>
  <c r="S59" i="24" s="1"/>
  <c r="U17" i="13"/>
  <c r="U35" i="12"/>
  <c r="S35" i="24" s="1"/>
  <c r="S77" i="24" s="1"/>
  <c r="U35" i="13"/>
  <c r="U12" i="12"/>
  <c r="S12" i="24" s="1"/>
  <c r="S54" i="24" s="1"/>
  <c r="U12" i="13"/>
  <c r="U14" i="12"/>
  <c r="S14" i="24" s="1"/>
  <c r="S56" i="24" s="1"/>
  <c r="U14" i="13"/>
  <c r="U5" i="12"/>
  <c r="S5" i="24" s="1"/>
  <c r="S47" i="24" s="1"/>
  <c r="U5" i="13"/>
  <c r="U43" i="11"/>
  <c r="U7" i="12"/>
  <c r="S7" i="24" s="1"/>
  <c r="S49" i="24" s="1"/>
  <c r="U7" i="13"/>
  <c r="M42" i="9"/>
  <c r="S53" i="7"/>
  <c r="M20" i="9"/>
  <c r="W6" i="8"/>
  <c r="V6" i="23" s="1"/>
  <c r="V58" i="23" s="1"/>
  <c r="W6" i="9"/>
  <c r="W14" i="8"/>
  <c r="V14" i="23" s="1"/>
  <c r="V66" i="23" s="1"/>
  <c r="W14" i="9"/>
  <c r="W26" i="8"/>
  <c r="V26" i="23" s="1"/>
  <c r="V78" i="23" s="1"/>
  <c r="W26" i="9"/>
  <c r="W37" i="8"/>
  <c r="W37" i="9"/>
  <c r="W25" i="8"/>
  <c r="V25" i="23" s="1"/>
  <c r="V77" i="23" s="1"/>
  <c r="W25" i="9"/>
  <c r="W7" i="8"/>
  <c r="V7" i="23" s="1"/>
  <c r="V59" i="23" s="1"/>
  <c r="W7" i="9"/>
  <c r="W15" i="8"/>
  <c r="V15" i="23" s="1"/>
  <c r="V67" i="23" s="1"/>
  <c r="W15" i="9"/>
  <c r="W27" i="8"/>
  <c r="W27" i="9"/>
  <c r="W38" i="8"/>
  <c r="V38" i="23" s="1"/>
  <c r="V90" i="23" s="1"/>
  <c r="W38" i="9"/>
  <c r="W24" i="8"/>
  <c r="V24" i="23" s="1"/>
  <c r="V76" i="23" s="1"/>
  <c r="W24" i="9"/>
  <c r="W45" i="8"/>
  <c r="V45" i="23" s="1"/>
  <c r="V97" i="23" s="1"/>
  <c r="W45" i="9"/>
  <c r="W44" i="8"/>
  <c r="W44" i="9"/>
  <c r="M44" i="9"/>
  <c r="O32" i="12"/>
  <c r="O32" i="24" s="1"/>
  <c r="O74" i="24" s="1"/>
  <c r="O32" i="13"/>
  <c r="O26" i="12"/>
  <c r="O26" i="24" s="1"/>
  <c r="O68" i="24" s="1"/>
  <c r="O26" i="13"/>
  <c r="O11" i="12"/>
  <c r="O11" i="13"/>
  <c r="O22" i="12"/>
  <c r="O22" i="24" s="1"/>
  <c r="O64" i="24" s="1"/>
  <c r="O22" i="13"/>
  <c r="O24" i="12"/>
  <c r="O24" i="24" s="1"/>
  <c r="O66" i="24" s="1"/>
  <c r="O24" i="13"/>
  <c r="O18" i="12"/>
  <c r="O18" i="24" s="1"/>
  <c r="O60" i="24" s="1"/>
  <c r="O18" i="13"/>
  <c r="O36" i="12"/>
  <c r="O36" i="13"/>
  <c r="O10" i="12"/>
  <c r="O10" i="24" s="1"/>
  <c r="O52" i="24" s="1"/>
  <c r="O10" i="13"/>
  <c r="O9" i="12"/>
  <c r="O9" i="24" s="1"/>
  <c r="O51" i="24" s="1"/>
  <c r="O9" i="13"/>
  <c r="U5" i="8"/>
  <c r="T5" i="23" s="1"/>
  <c r="T57" i="23" s="1"/>
  <c r="U5" i="9"/>
  <c r="U53" i="7"/>
  <c r="U58" i="7" s="1"/>
  <c r="U6" i="8" s="1"/>
  <c r="T6" i="23" s="1"/>
  <c r="T58" i="23" s="1"/>
  <c r="U13" i="9"/>
  <c r="U22" i="8"/>
  <c r="T22" i="23" s="1"/>
  <c r="T74" i="23" s="1"/>
  <c r="U22" i="9"/>
  <c r="U36" i="9"/>
  <c r="U21" i="9"/>
  <c r="U8" i="8"/>
  <c r="U8" i="9"/>
  <c r="T8" i="23" s="1"/>
  <c r="T60" i="23" s="1"/>
  <c r="U16" i="9"/>
  <c r="U29" i="9"/>
  <c r="U39" i="8"/>
  <c r="T39" i="23" s="1"/>
  <c r="T91" i="23" s="1"/>
  <c r="U39" i="9"/>
  <c r="U28" i="9"/>
  <c r="U46" i="8"/>
  <c r="T46" i="23" s="1"/>
  <c r="T98" i="23" s="1"/>
  <c r="U46" i="9"/>
  <c r="U45" i="9"/>
  <c r="M35" i="9"/>
  <c r="L42" i="9"/>
  <c r="L32" i="9"/>
  <c r="L7" i="9"/>
  <c r="L20" i="9"/>
  <c r="L34" i="9"/>
  <c r="L12" i="9"/>
  <c r="L30" i="9"/>
  <c r="L28" i="9"/>
  <c r="L15" i="9"/>
  <c r="L24" i="9"/>
  <c r="L14" i="9"/>
  <c r="L29" i="9"/>
  <c r="Q49" i="8"/>
  <c r="Q49" i="9"/>
  <c r="Q51" i="8"/>
  <c r="Q51" i="23" s="1"/>
  <c r="Q103" i="23" s="1"/>
  <c r="Q51" i="9"/>
  <c r="Q45" i="8"/>
  <c r="Q45" i="23" s="1"/>
  <c r="Q97" i="23" s="1"/>
  <c r="Q45" i="9"/>
  <c r="Q31" i="8"/>
  <c r="Q31" i="23" s="1"/>
  <c r="Q83" i="23" s="1"/>
  <c r="Q31" i="9"/>
  <c r="Q17" i="8"/>
  <c r="Q17" i="9"/>
  <c r="Q19" i="8"/>
  <c r="Q19" i="23" s="1"/>
  <c r="Q71" i="23" s="1"/>
  <c r="Q19" i="9"/>
  <c r="Q44" i="8"/>
  <c r="Q44" i="23" s="1"/>
  <c r="Q96" i="23" s="1"/>
  <c r="Q44" i="9"/>
  <c r="Q50" i="8"/>
  <c r="Q50" i="23" s="1"/>
  <c r="Q102" i="23" s="1"/>
  <c r="Q50" i="9"/>
  <c r="Q9" i="8"/>
  <c r="Q9" i="9"/>
  <c r="Q27" i="8"/>
  <c r="Q27" i="23" s="1"/>
  <c r="Q79" i="23" s="1"/>
  <c r="Q27" i="9"/>
  <c r="Q8" i="8"/>
  <c r="Q8" i="23" s="1"/>
  <c r="Q60" i="23" s="1"/>
  <c r="Q8" i="9"/>
  <c r="Q23" i="8"/>
  <c r="Q23" i="23" s="1"/>
  <c r="Q75" i="23" s="1"/>
  <c r="Q23" i="9"/>
  <c r="N15" i="11"/>
  <c r="N10" i="11"/>
  <c r="N6" i="11"/>
  <c r="N9" i="11"/>
  <c r="N5" i="11"/>
  <c r="N8" i="11"/>
  <c r="N7" i="11"/>
  <c r="N25" i="11"/>
  <c r="N41" i="11"/>
  <c r="N18" i="11"/>
  <c r="N34" i="11"/>
  <c r="N14" i="11"/>
  <c r="N31" i="11"/>
  <c r="N11" i="11"/>
  <c r="N28" i="11"/>
  <c r="N12" i="11"/>
  <c r="N29" i="11"/>
  <c r="N22" i="11"/>
  <c r="N38" i="11"/>
  <c r="N19" i="11"/>
  <c r="N35" i="11"/>
  <c r="N16" i="11"/>
  <c r="N32" i="11"/>
  <c r="N17" i="11"/>
  <c r="N33" i="11"/>
  <c r="N26" i="11"/>
  <c r="N23" i="11"/>
  <c r="N39" i="11"/>
  <c r="N20" i="11"/>
  <c r="N36" i="11"/>
  <c r="N21" i="11"/>
  <c r="N37" i="11"/>
  <c r="N13" i="11"/>
  <c r="N30" i="11"/>
  <c r="N27" i="11"/>
  <c r="N24" i="11"/>
  <c r="N40" i="11"/>
  <c r="M50" i="9"/>
  <c r="AD40" i="7"/>
  <c r="AC40" i="9"/>
  <c r="AD40" i="9" s="1"/>
  <c r="AD46" i="7"/>
  <c r="AC46" i="9"/>
  <c r="AD46" i="9" s="1"/>
  <c r="AD36" i="7"/>
  <c r="AC36" i="9"/>
  <c r="AD36" i="9" s="1"/>
  <c r="AD26" i="7"/>
  <c r="AC26" i="9"/>
  <c r="AD26" i="9" s="1"/>
  <c r="AD32" i="7"/>
  <c r="AC32" i="9"/>
  <c r="AD32" i="9" s="1"/>
  <c r="AD21" i="7"/>
  <c r="AC21" i="9"/>
  <c r="AD21" i="9" s="1"/>
  <c r="AD39" i="7"/>
  <c r="AC39" i="9"/>
  <c r="AD39" i="9" s="1"/>
  <c r="AD6" i="7"/>
  <c r="AC6" i="9"/>
  <c r="AD6" i="9" s="1"/>
  <c r="AD14" i="7"/>
  <c r="AC14" i="9"/>
  <c r="AD14" i="9" s="1"/>
  <c r="AD25" i="7"/>
  <c r="AC25" i="9"/>
  <c r="AD25" i="9" s="1"/>
  <c r="AD11" i="7"/>
  <c r="AC11" i="9"/>
  <c r="AD11" i="9" s="1"/>
  <c r="AD19" i="7"/>
  <c r="AC19" i="9"/>
  <c r="AD19" i="9" s="1"/>
  <c r="P47" i="8"/>
  <c r="P47" i="23" s="1"/>
  <c r="P99" i="23" s="1"/>
  <c r="P47" i="9"/>
  <c r="P33" i="8"/>
  <c r="P33" i="23" s="1"/>
  <c r="P85" i="23" s="1"/>
  <c r="P33" i="9"/>
  <c r="P34" i="8"/>
  <c r="P34" i="9"/>
  <c r="P46" i="8"/>
  <c r="P46" i="23" s="1"/>
  <c r="P98" i="23" s="1"/>
  <c r="P46" i="9"/>
  <c r="P51" i="8"/>
  <c r="P51" i="23" s="1"/>
  <c r="P103" i="23" s="1"/>
  <c r="P51" i="9"/>
  <c r="P48" i="8"/>
  <c r="P48" i="23" s="1"/>
  <c r="P100" i="23" s="1"/>
  <c r="P48" i="9"/>
  <c r="P9" i="8"/>
  <c r="P9" i="23" s="1"/>
  <c r="P61" i="23" s="1"/>
  <c r="P9" i="9"/>
  <c r="P17" i="8"/>
  <c r="P17" i="9"/>
  <c r="P17" i="23" s="1"/>
  <c r="P69" i="23" s="1"/>
  <c r="P21" i="8"/>
  <c r="P21" i="9"/>
  <c r="P10" i="8"/>
  <c r="P10" i="23" s="1"/>
  <c r="P62" i="23" s="1"/>
  <c r="P10" i="9"/>
  <c r="P18" i="8"/>
  <c r="P18" i="23" s="1"/>
  <c r="P70" i="23" s="1"/>
  <c r="P18" i="9"/>
  <c r="P20" i="8"/>
  <c r="P20" i="23" s="1"/>
  <c r="P72" i="23" s="1"/>
  <c r="P20" i="9"/>
  <c r="AH35" i="8"/>
  <c r="AH35" i="9"/>
  <c r="AH48" i="8"/>
  <c r="AD48" i="23" s="1"/>
  <c r="AD100" i="23" s="1"/>
  <c r="AH48" i="9"/>
  <c r="AH38" i="8"/>
  <c r="AD38" i="23" s="1"/>
  <c r="AD90" i="23" s="1"/>
  <c r="AH38" i="9"/>
  <c r="AH44" i="8"/>
  <c r="AD44" i="23" s="1"/>
  <c r="AD96" i="23" s="1"/>
  <c r="AH44" i="9"/>
  <c r="AH50" i="8"/>
  <c r="AH50" i="9"/>
  <c r="AH40" i="8"/>
  <c r="AD40" i="23" s="1"/>
  <c r="AD92" i="23" s="1"/>
  <c r="AH40" i="9"/>
  <c r="AH46" i="8"/>
  <c r="AD46" i="23" s="1"/>
  <c r="AD98" i="23" s="1"/>
  <c r="AH46" i="9"/>
  <c r="AH36" i="8"/>
  <c r="AH36" i="9"/>
  <c r="AD36" i="23" s="1"/>
  <c r="AD88" i="23" s="1"/>
  <c r="AH9" i="8"/>
  <c r="AD9" i="23" s="1"/>
  <c r="AD61" i="23" s="1"/>
  <c r="AH9" i="9"/>
  <c r="AH17" i="8"/>
  <c r="AD17" i="23" s="1"/>
  <c r="AD69" i="23" s="1"/>
  <c r="AH17" i="9"/>
  <c r="AH8" i="8"/>
  <c r="AD8" i="23" s="1"/>
  <c r="AD60" i="23" s="1"/>
  <c r="AH8" i="9"/>
  <c r="AH16" i="8"/>
  <c r="AD16" i="23" s="1"/>
  <c r="AD68" i="23" s="1"/>
  <c r="AH16" i="9"/>
  <c r="X21" i="8"/>
  <c r="X21" i="9"/>
  <c r="X8" i="8"/>
  <c r="W8" i="23" s="1"/>
  <c r="W60" i="23" s="1"/>
  <c r="X8" i="9"/>
  <c r="X16" i="8"/>
  <c r="W16" i="23" s="1"/>
  <c r="W68" i="23" s="1"/>
  <c r="X16" i="9"/>
  <c r="X29" i="8"/>
  <c r="X29" i="9"/>
  <c r="W29" i="23" s="1"/>
  <c r="W81" i="23" s="1"/>
  <c r="X39" i="8"/>
  <c r="W39" i="23" s="1"/>
  <c r="W91" i="23" s="1"/>
  <c r="X39" i="9"/>
  <c r="X28" i="8"/>
  <c r="W28" i="23" s="1"/>
  <c r="W80" i="23" s="1"/>
  <c r="X28" i="9"/>
  <c r="X9" i="8"/>
  <c r="X17" i="8"/>
  <c r="W17" i="23" s="1"/>
  <c r="W69" i="23" s="1"/>
  <c r="X17" i="9"/>
  <c r="X31" i="8"/>
  <c r="W31" i="23" s="1"/>
  <c r="W83" i="23" s="1"/>
  <c r="X31" i="9"/>
  <c r="X40" i="8"/>
  <c r="W40" i="23" s="1"/>
  <c r="W92" i="23" s="1"/>
  <c r="X40" i="9"/>
  <c r="X48" i="8"/>
  <c r="W48" i="23" s="1"/>
  <c r="W100" i="23" s="1"/>
  <c r="X48" i="9"/>
  <c r="X47" i="8"/>
  <c r="X47" i="9"/>
  <c r="M24" i="8"/>
  <c r="M24" i="23" s="1"/>
  <c r="M76" i="23" s="1"/>
  <c r="M24" i="9"/>
  <c r="M25" i="8"/>
  <c r="M25" i="9"/>
  <c r="M5" i="8"/>
  <c r="M5" i="23" s="1"/>
  <c r="M57" i="23" s="1"/>
  <c r="M53" i="7"/>
  <c r="M58" i="7" s="1"/>
  <c r="M37" i="8" s="1"/>
  <c r="M37" i="23" s="1"/>
  <c r="M89" i="23" s="1"/>
  <c r="M5" i="9"/>
  <c r="R39" i="12"/>
  <c r="S39" i="12" s="1"/>
  <c r="S39" i="11"/>
  <c r="R39" i="13"/>
  <c r="S39" i="13" s="1"/>
  <c r="R33" i="12"/>
  <c r="S33" i="12" s="1"/>
  <c r="S33" i="11"/>
  <c r="R33" i="13"/>
  <c r="S33" i="13" s="1"/>
  <c r="R35" i="12"/>
  <c r="S35" i="12" s="1"/>
  <c r="S35" i="11"/>
  <c r="R35" i="13"/>
  <c r="S35" i="13" s="1"/>
  <c r="R29" i="12"/>
  <c r="S29" i="12" s="1"/>
  <c r="S29" i="11"/>
  <c r="R29" i="13"/>
  <c r="S29" i="13" s="1"/>
  <c r="R31" i="12"/>
  <c r="S31" i="12" s="1"/>
  <c r="S31" i="11"/>
  <c r="R31" i="13"/>
  <c r="S31" i="13" s="1"/>
  <c r="R41" i="12"/>
  <c r="S41" i="12" s="1"/>
  <c r="S41" i="11"/>
  <c r="R41" i="13"/>
  <c r="S41" i="13" s="1"/>
  <c r="R27" i="12"/>
  <c r="S27" i="12" s="1"/>
  <c r="S27" i="11"/>
  <c r="R27" i="13"/>
  <c r="S27" i="13" s="1"/>
  <c r="R40" i="12"/>
  <c r="S40" i="12" s="1"/>
  <c r="S40" i="11"/>
  <c r="R40" i="13"/>
  <c r="S40" i="13" s="1"/>
  <c r="R9" i="12"/>
  <c r="S9" i="12" s="1"/>
  <c r="S9" i="11"/>
  <c r="R9" i="13"/>
  <c r="S9" i="13" s="1"/>
  <c r="R15" i="12"/>
  <c r="S15" i="12" s="1"/>
  <c r="S15" i="11"/>
  <c r="R15" i="13"/>
  <c r="S15" i="13" s="1"/>
  <c r="M8" i="8"/>
  <c r="M8" i="9"/>
  <c r="R34" i="9"/>
  <c r="R46" i="9"/>
  <c r="R51" i="9"/>
  <c r="R48" i="9"/>
  <c r="R38" i="9"/>
  <c r="R6" i="9"/>
  <c r="R14" i="9"/>
  <c r="R26" i="9"/>
  <c r="R28" i="9"/>
  <c r="R11" i="9"/>
  <c r="R19" i="9"/>
  <c r="R24" i="9"/>
  <c r="O39" i="9"/>
  <c r="O49" i="9"/>
  <c r="O51" i="9"/>
  <c r="O45" i="9"/>
  <c r="O31" i="9"/>
  <c r="O24" i="9"/>
  <c r="O27" i="9"/>
  <c r="O8" i="9"/>
  <c r="O16" i="9"/>
  <c r="O53" i="7"/>
  <c r="O58" i="7" s="1"/>
  <c r="O50" i="8" s="1"/>
  <c r="O50" i="23" s="1"/>
  <c r="O102" i="23" s="1"/>
  <c r="O5" i="9"/>
  <c r="O13" i="9"/>
  <c r="M31" i="8"/>
  <c r="M31" i="23" s="1"/>
  <c r="M83" i="23" s="1"/>
  <c r="M31" i="9"/>
  <c r="M40" i="8"/>
  <c r="M40" i="23" s="1"/>
  <c r="M92" i="23" s="1"/>
  <c r="M40" i="9"/>
  <c r="M38" i="12"/>
  <c r="M38" i="24" s="1"/>
  <c r="M80" i="24" s="1"/>
  <c r="M38" i="13"/>
  <c r="M28" i="12"/>
  <c r="M28" i="24" s="1"/>
  <c r="M70" i="24" s="1"/>
  <c r="M28" i="13"/>
  <c r="M34" i="12"/>
  <c r="M34" i="24" s="1"/>
  <c r="M76" i="24" s="1"/>
  <c r="M34" i="13"/>
  <c r="M40" i="12"/>
  <c r="M40" i="13"/>
  <c r="M30" i="12"/>
  <c r="M30" i="24" s="1"/>
  <c r="M72" i="24" s="1"/>
  <c r="M30" i="13"/>
  <c r="M36" i="12"/>
  <c r="M36" i="24" s="1"/>
  <c r="M78" i="24" s="1"/>
  <c r="M36" i="13"/>
  <c r="M29" i="12"/>
  <c r="M29" i="24" s="1"/>
  <c r="M71" i="24" s="1"/>
  <c r="M29" i="13"/>
  <c r="M39" i="12"/>
  <c r="M39" i="24" s="1"/>
  <c r="M81" i="24" s="1"/>
  <c r="M39" i="13"/>
  <c r="M9" i="12"/>
  <c r="M9" i="24" s="1"/>
  <c r="M51" i="24" s="1"/>
  <c r="M9" i="13"/>
  <c r="M15" i="12"/>
  <c r="M15" i="24" s="1"/>
  <c r="M57" i="24" s="1"/>
  <c r="M15" i="13"/>
  <c r="U27" i="12"/>
  <c r="S27" i="24" s="1"/>
  <c r="S69" i="24" s="1"/>
  <c r="U27" i="13"/>
  <c r="U11" i="12"/>
  <c r="S11" i="24" s="1"/>
  <c r="S53" i="24" s="1"/>
  <c r="U11" i="13"/>
  <c r="U39" i="12"/>
  <c r="S39" i="24" s="1"/>
  <c r="S81" i="24" s="1"/>
  <c r="U39" i="13"/>
  <c r="U33" i="12"/>
  <c r="S33" i="24" s="1"/>
  <c r="S75" i="24" s="1"/>
  <c r="U33" i="13"/>
  <c r="U19" i="12"/>
  <c r="S19" i="24" s="1"/>
  <c r="S61" i="24" s="1"/>
  <c r="U19" i="13"/>
  <c r="U29" i="12"/>
  <c r="U29" i="13"/>
  <c r="U34" i="12"/>
  <c r="S34" i="24" s="1"/>
  <c r="S76" i="24" s="1"/>
  <c r="U34" i="13"/>
  <c r="U9" i="12"/>
  <c r="U9" i="13"/>
  <c r="U8" i="12"/>
  <c r="S8" i="24" s="1"/>
  <c r="S50" i="24" s="1"/>
  <c r="U8" i="13"/>
  <c r="M33" i="8"/>
  <c r="M33" i="23" s="1"/>
  <c r="M85" i="23" s="1"/>
  <c r="M33" i="9"/>
  <c r="W8" i="8"/>
  <c r="V8" i="23" s="1"/>
  <c r="V60" i="23" s="1"/>
  <c r="W8" i="9"/>
  <c r="W16" i="8"/>
  <c r="V16" i="23" s="1"/>
  <c r="V68" i="23" s="1"/>
  <c r="W16" i="9"/>
  <c r="W29" i="8"/>
  <c r="V29" i="23" s="1"/>
  <c r="V81" i="23" s="1"/>
  <c r="W29" i="9"/>
  <c r="W39" i="8"/>
  <c r="W39" i="9"/>
  <c r="W28" i="8"/>
  <c r="V28" i="23" s="1"/>
  <c r="V80" i="23" s="1"/>
  <c r="W28" i="9"/>
  <c r="W9" i="8"/>
  <c r="V9" i="23" s="1"/>
  <c r="V61" i="23" s="1"/>
  <c r="W9" i="9"/>
  <c r="W17" i="8"/>
  <c r="V17" i="23" s="1"/>
  <c r="V69" i="23" s="1"/>
  <c r="W17" i="9"/>
  <c r="W31" i="8"/>
  <c r="W31" i="9"/>
  <c r="W40" i="8"/>
  <c r="V40" i="23" s="1"/>
  <c r="V92" i="23" s="1"/>
  <c r="W40" i="9"/>
  <c r="W30" i="8"/>
  <c r="V30" i="23" s="1"/>
  <c r="V82" i="23" s="1"/>
  <c r="W30" i="9"/>
  <c r="W47" i="8"/>
  <c r="V47" i="23" s="1"/>
  <c r="V99" i="23" s="1"/>
  <c r="W47" i="9"/>
  <c r="W46" i="8"/>
  <c r="W46" i="9"/>
  <c r="M7" i="8"/>
  <c r="M7" i="23" s="1"/>
  <c r="M59" i="23" s="1"/>
  <c r="M7" i="9"/>
  <c r="O30" i="12"/>
  <c r="O30" i="13"/>
  <c r="O16" i="12"/>
  <c r="O16" i="24" s="1"/>
  <c r="O58" i="24" s="1"/>
  <c r="O16" i="13"/>
  <c r="O41" i="12"/>
  <c r="O41" i="24" s="1"/>
  <c r="O83" i="24" s="1"/>
  <c r="O41" i="13"/>
  <c r="O35" i="12"/>
  <c r="O35" i="24" s="1"/>
  <c r="O77" i="24" s="1"/>
  <c r="O35" i="13"/>
  <c r="O37" i="12"/>
  <c r="O37" i="24" s="1"/>
  <c r="O79" i="24" s="1"/>
  <c r="O37" i="13"/>
  <c r="O31" i="12"/>
  <c r="O31" i="24" s="1"/>
  <c r="O73" i="24" s="1"/>
  <c r="O31" i="13"/>
  <c r="O13" i="12"/>
  <c r="O13" i="24" s="1"/>
  <c r="O55" i="24" s="1"/>
  <c r="O13" i="13"/>
  <c r="O20" i="12"/>
  <c r="O20" i="24" s="1"/>
  <c r="O62" i="24" s="1"/>
  <c r="O20" i="13"/>
  <c r="O7" i="12"/>
  <c r="O7" i="24" s="1"/>
  <c r="O49" i="24" s="1"/>
  <c r="O7" i="13"/>
  <c r="O15" i="12"/>
  <c r="O15" i="24" s="1"/>
  <c r="O57" i="24" s="1"/>
  <c r="O15" i="13"/>
  <c r="M30" i="9"/>
  <c r="U7" i="8"/>
  <c r="T7" i="23" s="1"/>
  <c r="T59" i="23" s="1"/>
  <c r="U7" i="9"/>
  <c r="U15" i="8"/>
  <c r="T15" i="23" s="1"/>
  <c r="T67" i="23" s="1"/>
  <c r="U15" i="9"/>
  <c r="U27" i="8"/>
  <c r="T27" i="23" s="1"/>
  <c r="T79" i="23" s="1"/>
  <c r="U27" i="9"/>
  <c r="U38" i="8"/>
  <c r="T38" i="23" s="1"/>
  <c r="T90" i="23" s="1"/>
  <c r="U38" i="9"/>
  <c r="U24" i="8"/>
  <c r="T24" i="23" s="1"/>
  <c r="T76" i="23" s="1"/>
  <c r="U24" i="9"/>
  <c r="U10" i="8"/>
  <c r="U10" i="9"/>
  <c r="U18" i="8"/>
  <c r="U18" i="9"/>
  <c r="T18" i="23" s="1"/>
  <c r="T70" i="23" s="1"/>
  <c r="U33" i="8"/>
  <c r="T33" i="23" s="1"/>
  <c r="T85" i="23" s="1"/>
  <c r="U33" i="9"/>
  <c r="U41" i="8"/>
  <c r="T41" i="23" s="1"/>
  <c r="T93" i="23" s="1"/>
  <c r="U41" i="9"/>
  <c r="U32" i="8"/>
  <c r="T32" i="23" s="1"/>
  <c r="T84" i="23" s="1"/>
  <c r="U32" i="9"/>
  <c r="U48" i="8"/>
  <c r="T48" i="23" s="1"/>
  <c r="T100" i="23" s="1"/>
  <c r="U48" i="9"/>
  <c r="U47" i="8"/>
  <c r="T47" i="23" s="1"/>
  <c r="T99" i="23" s="1"/>
  <c r="U47" i="9"/>
  <c r="M43" i="8"/>
  <c r="M43" i="23" s="1"/>
  <c r="M95" i="23" s="1"/>
  <c r="M43" i="9"/>
  <c r="L18" i="9"/>
  <c r="L47" i="9"/>
  <c r="L49" i="9"/>
  <c r="L43" i="9"/>
  <c r="L45" i="9"/>
  <c r="L39" i="9"/>
  <c r="L41" i="9"/>
  <c r="L5" i="9"/>
  <c r="L53" i="7"/>
  <c r="L58" i="7" s="1"/>
  <c r="L42" i="8" s="1"/>
  <c r="L22" i="8"/>
  <c r="L22" i="9"/>
  <c r="L6" i="8"/>
  <c r="L6" i="23" s="1"/>
  <c r="L58" i="23" s="1"/>
  <c r="L6" i="9"/>
  <c r="L16" i="8"/>
  <c r="L16" i="23" s="1"/>
  <c r="L68" i="23" s="1"/>
  <c r="L16" i="9"/>
  <c r="M32" i="8"/>
  <c r="M32" i="23" s="1"/>
  <c r="M84" i="23" s="1"/>
  <c r="M32" i="9"/>
  <c r="Q33" i="8"/>
  <c r="Q33" i="23" s="1"/>
  <c r="Q85" i="23" s="1"/>
  <c r="Q33" i="9"/>
  <c r="Q35" i="8"/>
  <c r="Q35" i="23" s="1"/>
  <c r="Q87" i="23" s="1"/>
  <c r="Q35" i="9"/>
  <c r="Q25" i="8"/>
  <c r="Q25" i="23" s="1"/>
  <c r="Q77" i="23" s="1"/>
  <c r="Q25" i="9"/>
  <c r="Q42" i="8"/>
  <c r="Q42" i="23" s="1"/>
  <c r="Q94" i="23" s="1"/>
  <c r="Q42" i="9"/>
  <c r="Q48" i="8"/>
  <c r="Q48" i="9"/>
  <c r="Q38" i="8"/>
  <c r="Q38" i="23" s="1"/>
  <c r="Q90" i="23" s="1"/>
  <c r="Q38" i="9"/>
  <c r="Q20" i="8"/>
  <c r="Q20" i="23" s="1"/>
  <c r="Q72" i="23" s="1"/>
  <c r="Q20" i="9"/>
  <c r="Q34" i="8"/>
  <c r="Q34" i="23" s="1"/>
  <c r="Q86" i="23" s="1"/>
  <c r="Q34" i="9"/>
  <c r="Q13" i="8"/>
  <c r="Q13" i="23" s="1"/>
  <c r="Q65" i="23" s="1"/>
  <c r="Q13" i="9"/>
  <c r="Q21" i="8"/>
  <c r="Q21" i="23" s="1"/>
  <c r="Q73" i="23" s="1"/>
  <c r="Q21" i="9"/>
  <c r="Q10" i="8"/>
  <c r="Q10" i="23" s="1"/>
  <c r="Q62" i="23" s="1"/>
  <c r="Q10" i="9"/>
  <c r="Q26" i="8"/>
  <c r="Q26" i="23" s="1"/>
  <c r="Q78" i="23" s="1"/>
  <c r="Q26" i="9"/>
  <c r="V15" i="11"/>
  <c r="V7" i="11"/>
  <c r="V10" i="11"/>
  <c r="V6" i="11"/>
  <c r="V9" i="11"/>
  <c r="V5" i="11"/>
  <c r="V8" i="11"/>
  <c r="V24" i="11"/>
  <c r="V40" i="11"/>
  <c r="V17" i="11"/>
  <c r="V33" i="11"/>
  <c r="V13" i="11"/>
  <c r="V30" i="11"/>
  <c r="V14" i="11"/>
  <c r="V31" i="11"/>
  <c r="V28" i="11"/>
  <c r="V21" i="11"/>
  <c r="V37" i="11"/>
  <c r="V18" i="11"/>
  <c r="V34" i="11"/>
  <c r="V19" i="11"/>
  <c r="V35" i="11"/>
  <c r="V16" i="11"/>
  <c r="V32" i="11"/>
  <c r="V25" i="11"/>
  <c r="V41" i="11"/>
  <c r="V22" i="11"/>
  <c r="V38" i="11"/>
  <c r="V23" i="11"/>
  <c r="V39" i="11"/>
  <c r="V11" i="11"/>
  <c r="V20" i="11"/>
  <c r="V36" i="11"/>
  <c r="V12" i="11"/>
  <c r="V29" i="11"/>
  <c r="V26" i="11"/>
  <c r="V27" i="11"/>
  <c r="M19" i="8"/>
  <c r="M19" i="9"/>
  <c r="M19" i="23" s="1"/>
  <c r="M71" i="23" s="1"/>
  <c r="AD23" i="7"/>
  <c r="AC23" i="9"/>
  <c r="AD23" i="9" s="1"/>
  <c r="AD30" i="7"/>
  <c r="AC30" i="9"/>
  <c r="AD30" i="9" s="1"/>
  <c r="AD47" i="7"/>
  <c r="AC47" i="9"/>
  <c r="AD47" i="9" s="1"/>
  <c r="AD41" i="7"/>
  <c r="AC41" i="9"/>
  <c r="AD41" i="9" s="1"/>
  <c r="AD43" i="7"/>
  <c r="AC43" i="9"/>
  <c r="AD43" i="9" s="1"/>
  <c r="AD37" i="7"/>
  <c r="AC37" i="9"/>
  <c r="AD37" i="9" s="1"/>
  <c r="AD22" i="7"/>
  <c r="AC22" i="8"/>
  <c r="AD22" i="8" s="1"/>
  <c r="AC22" i="9"/>
  <c r="AD22" i="9" s="1"/>
  <c r="AD8" i="7"/>
  <c r="AC8" i="9"/>
  <c r="AD8" i="9" s="1"/>
  <c r="AD16" i="7"/>
  <c r="AC16" i="9"/>
  <c r="AD16" i="9" s="1"/>
  <c r="AD5" i="7"/>
  <c r="AD53" i="7" s="1"/>
  <c r="AC53" i="7"/>
  <c r="AC58" i="7" s="1"/>
  <c r="AC49" i="8" s="1"/>
  <c r="AD49" i="8" s="1"/>
  <c r="AC5" i="9"/>
  <c r="AD13" i="7"/>
  <c r="AC13" i="9"/>
  <c r="AD13" i="9" s="1"/>
  <c r="M29" i="8"/>
  <c r="M29" i="9"/>
  <c r="P31" i="8"/>
  <c r="P31" i="23" s="1"/>
  <c r="P83" i="23" s="1"/>
  <c r="P31" i="9"/>
  <c r="P44" i="8"/>
  <c r="P44" i="23" s="1"/>
  <c r="P96" i="23" s="1"/>
  <c r="P44" i="9"/>
  <c r="P45" i="8"/>
  <c r="P45" i="23" s="1"/>
  <c r="P97" i="23" s="1"/>
  <c r="P45" i="9"/>
  <c r="P30" i="8"/>
  <c r="P30" i="9"/>
  <c r="P35" i="8"/>
  <c r="P35" i="23" s="1"/>
  <c r="P87" i="23" s="1"/>
  <c r="P35" i="9"/>
  <c r="P32" i="8"/>
  <c r="P32" i="23" s="1"/>
  <c r="P84" i="23" s="1"/>
  <c r="P32" i="9"/>
  <c r="P11" i="8"/>
  <c r="P11" i="23" s="1"/>
  <c r="P63" i="23" s="1"/>
  <c r="P11" i="9"/>
  <c r="P19" i="8"/>
  <c r="P19" i="9"/>
  <c r="P24" i="8"/>
  <c r="P24" i="9"/>
  <c r="P12" i="8"/>
  <c r="P12" i="23" s="1"/>
  <c r="P64" i="23" s="1"/>
  <c r="P12" i="9"/>
  <c r="P23" i="8"/>
  <c r="P23" i="9"/>
  <c r="P25" i="8"/>
  <c r="P25" i="23" s="1"/>
  <c r="P77" i="23" s="1"/>
  <c r="P25" i="9"/>
  <c r="AH42" i="8"/>
  <c r="AD42" i="23" s="1"/>
  <c r="AD94" i="23" s="1"/>
  <c r="AH42" i="9"/>
  <c r="AH32" i="8"/>
  <c r="AH32" i="9"/>
  <c r="AH21" i="8"/>
  <c r="AD21" i="23" s="1"/>
  <c r="AD73" i="23" s="1"/>
  <c r="AH21" i="9"/>
  <c r="AH28" i="8"/>
  <c r="AD28" i="23" s="1"/>
  <c r="AD80" i="23" s="1"/>
  <c r="AH28" i="9"/>
  <c r="AH34" i="8"/>
  <c r="AD34" i="23" s="1"/>
  <c r="AD86" i="23" s="1"/>
  <c r="AH34" i="9"/>
  <c r="AH23" i="8"/>
  <c r="AH23" i="9"/>
  <c r="AH30" i="8"/>
  <c r="AD30" i="23" s="1"/>
  <c r="AD82" i="23" s="1"/>
  <c r="AH30" i="9"/>
  <c r="AH20" i="8"/>
  <c r="AD20" i="23" s="1"/>
  <c r="AD72" i="23" s="1"/>
  <c r="AH20" i="9"/>
  <c r="AH11" i="8"/>
  <c r="AD11" i="23" s="1"/>
  <c r="AD63" i="23" s="1"/>
  <c r="AH11" i="9"/>
  <c r="AH25" i="8"/>
  <c r="AH25" i="9"/>
  <c r="AH10" i="8"/>
  <c r="AD10" i="23" s="1"/>
  <c r="AD62" i="23" s="1"/>
  <c r="AH10" i="9"/>
  <c r="AH18" i="8"/>
  <c r="AD18" i="23" s="1"/>
  <c r="AD70" i="23" s="1"/>
  <c r="AH18" i="9"/>
  <c r="X24" i="8"/>
  <c r="W24" i="23" s="1"/>
  <c r="W76" i="23" s="1"/>
  <c r="X24" i="9"/>
  <c r="X10" i="8"/>
  <c r="X10" i="9"/>
  <c r="X18" i="8"/>
  <c r="W18" i="23" s="1"/>
  <c r="W70" i="23" s="1"/>
  <c r="X18" i="9"/>
  <c r="X33" i="8"/>
  <c r="W33" i="23" s="1"/>
  <c r="W85" i="23" s="1"/>
  <c r="X33" i="9"/>
  <c r="X41" i="8"/>
  <c r="W41" i="23" s="1"/>
  <c r="W93" i="23" s="1"/>
  <c r="X41" i="9"/>
  <c r="X32" i="8"/>
  <c r="X32" i="9"/>
  <c r="X11" i="8"/>
  <c r="W11" i="23" s="1"/>
  <c r="W63" i="23" s="1"/>
  <c r="X11" i="9"/>
  <c r="X19" i="8"/>
  <c r="W19" i="23" s="1"/>
  <c r="W71" i="23" s="1"/>
  <c r="X19" i="9"/>
  <c r="X34" i="8"/>
  <c r="W34" i="23" s="1"/>
  <c r="W86" i="23" s="1"/>
  <c r="X34" i="9"/>
  <c r="X42" i="8"/>
  <c r="X42" i="9"/>
  <c r="X50" i="8"/>
  <c r="W50" i="23" s="1"/>
  <c r="W102" i="23" s="1"/>
  <c r="X50" i="9"/>
  <c r="X49" i="8"/>
  <c r="W49" i="23" s="1"/>
  <c r="W101" i="23" s="1"/>
  <c r="X49" i="9"/>
  <c r="M13" i="8"/>
  <c r="M13" i="23" s="1"/>
  <c r="M65" i="23" s="1"/>
  <c r="M13" i="9"/>
  <c r="M6" i="8"/>
  <c r="M6" i="9"/>
  <c r="M9" i="8"/>
  <c r="M9" i="23" s="1"/>
  <c r="M61" i="23" s="1"/>
  <c r="M9" i="9"/>
  <c r="R23" i="12"/>
  <c r="S23" i="12" s="1"/>
  <c r="S23" i="11"/>
  <c r="R23" i="13"/>
  <c r="S23" i="13" s="1"/>
  <c r="R17" i="12"/>
  <c r="S17" i="12" s="1"/>
  <c r="S17" i="11"/>
  <c r="R17" i="13"/>
  <c r="S17" i="13" s="1"/>
  <c r="R19" i="12"/>
  <c r="S19" i="12" s="1"/>
  <c r="S19" i="11"/>
  <c r="R19" i="13"/>
  <c r="S19" i="13" s="1"/>
  <c r="S12" i="11"/>
  <c r="R12" i="12"/>
  <c r="S12" i="12" s="1"/>
  <c r="R12" i="13"/>
  <c r="S12" i="13" s="1"/>
  <c r="S14" i="11"/>
  <c r="R14" i="12"/>
  <c r="S14" i="12" s="1"/>
  <c r="R14" i="13"/>
  <c r="S14" i="13" s="1"/>
  <c r="R25" i="12"/>
  <c r="S25" i="12" s="1"/>
  <c r="S25" i="11"/>
  <c r="R25" i="13"/>
  <c r="S25" i="13" s="1"/>
  <c r="R26" i="12"/>
  <c r="S26" i="12" s="1"/>
  <c r="S26" i="11"/>
  <c r="R26" i="13"/>
  <c r="S26" i="13" s="1"/>
  <c r="R24" i="12"/>
  <c r="S24" i="12" s="1"/>
  <c r="S24" i="11"/>
  <c r="R24" i="13"/>
  <c r="S24" i="13" s="1"/>
  <c r="R6" i="12"/>
  <c r="S6" i="12" s="1"/>
  <c r="S6" i="11"/>
  <c r="R6" i="13"/>
  <c r="S6" i="13" s="1"/>
  <c r="M38" i="8"/>
  <c r="M38" i="23" s="1"/>
  <c r="M90" i="23" s="1"/>
  <c r="M38" i="9"/>
  <c r="R45" i="9"/>
  <c r="R30" i="9"/>
  <c r="R35" i="9"/>
  <c r="R32" i="9"/>
  <c r="R49" i="9"/>
  <c r="R8" i="9"/>
  <c r="R16" i="9"/>
  <c r="R29" i="9"/>
  <c r="R5" i="9"/>
  <c r="R53" i="7"/>
  <c r="R13" i="9"/>
  <c r="R22" i="9"/>
  <c r="O37" i="9"/>
  <c r="O22" i="8"/>
  <c r="O22" i="23" s="1"/>
  <c r="O74" i="23" s="1"/>
  <c r="O22" i="9"/>
  <c r="O33" i="9"/>
  <c r="O35" i="8"/>
  <c r="O35" i="23" s="1"/>
  <c r="O87" i="23" s="1"/>
  <c r="O35" i="9"/>
  <c r="O29" i="9"/>
  <c r="O42" i="8"/>
  <c r="O42" i="23" s="1"/>
  <c r="O94" i="23" s="1"/>
  <c r="O42" i="9"/>
  <c r="O48" i="9"/>
  <c r="O38" i="8"/>
  <c r="O38" i="23" s="1"/>
  <c r="O90" i="23" s="1"/>
  <c r="O38" i="9"/>
  <c r="O10" i="9"/>
  <c r="O18" i="8"/>
  <c r="O18" i="23" s="1"/>
  <c r="O70" i="23" s="1"/>
  <c r="O18" i="9"/>
  <c r="O7" i="9"/>
  <c r="O15" i="8"/>
  <c r="O15" i="23" s="1"/>
  <c r="O67" i="23" s="1"/>
  <c r="O15" i="9"/>
  <c r="M39" i="8"/>
  <c r="M39" i="23" s="1"/>
  <c r="M91" i="23" s="1"/>
  <c r="M39" i="9"/>
  <c r="M22" i="8"/>
  <c r="M22" i="23" s="1"/>
  <c r="M74" i="23" s="1"/>
  <c r="M22" i="9"/>
  <c r="M22" i="12"/>
  <c r="M22" i="13"/>
  <c r="M11" i="12"/>
  <c r="M11" i="24" s="1"/>
  <c r="M53" i="24" s="1"/>
  <c r="M11" i="13"/>
  <c r="M18" i="12"/>
  <c r="M18" i="24" s="1"/>
  <c r="M60" i="24" s="1"/>
  <c r="M18" i="13"/>
  <c r="M24" i="12"/>
  <c r="M24" i="24" s="1"/>
  <c r="M66" i="24" s="1"/>
  <c r="M24" i="13"/>
  <c r="M13" i="12"/>
  <c r="M13" i="13"/>
  <c r="M20" i="12"/>
  <c r="M20" i="24" s="1"/>
  <c r="M62" i="24" s="1"/>
  <c r="M20" i="13"/>
  <c r="M12" i="12"/>
  <c r="M12" i="24" s="1"/>
  <c r="M54" i="24" s="1"/>
  <c r="M12" i="13"/>
  <c r="M23" i="12"/>
  <c r="M23" i="24" s="1"/>
  <c r="M65" i="24" s="1"/>
  <c r="M23" i="13"/>
  <c r="M6" i="12"/>
  <c r="M6" i="13"/>
  <c r="U41" i="12"/>
  <c r="S41" i="24" s="1"/>
  <c r="S83" i="24" s="1"/>
  <c r="U41" i="13"/>
  <c r="U30" i="12"/>
  <c r="S30" i="24" s="1"/>
  <c r="S72" i="24" s="1"/>
  <c r="U30" i="13"/>
  <c r="U37" i="12"/>
  <c r="S37" i="24" s="1"/>
  <c r="S79" i="24" s="1"/>
  <c r="U37" i="13"/>
  <c r="U23" i="12"/>
  <c r="U23" i="13"/>
  <c r="U32" i="12"/>
  <c r="S32" i="24" s="1"/>
  <c r="S74" i="24" s="1"/>
  <c r="U32" i="13"/>
  <c r="U38" i="12"/>
  <c r="S38" i="24" s="1"/>
  <c r="S80" i="24" s="1"/>
  <c r="U38" i="13"/>
  <c r="U28" i="12"/>
  <c r="S28" i="24" s="1"/>
  <c r="S70" i="24" s="1"/>
  <c r="U28" i="13"/>
  <c r="U18" i="12"/>
  <c r="U18" i="13"/>
  <c r="U6" i="12"/>
  <c r="S6" i="24" s="1"/>
  <c r="S48" i="24" s="1"/>
  <c r="U6" i="13"/>
  <c r="U15" i="12"/>
  <c r="S15" i="24" s="1"/>
  <c r="S57" i="24" s="1"/>
  <c r="U15" i="13"/>
  <c r="M41" i="8"/>
  <c r="M41" i="23" s="1"/>
  <c r="M93" i="23" s="1"/>
  <c r="M41" i="9"/>
  <c r="W10" i="8"/>
  <c r="W10" i="9"/>
  <c r="W18" i="8"/>
  <c r="V18" i="23" s="1"/>
  <c r="V70" i="23" s="1"/>
  <c r="W18" i="9"/>
  <c r="W33" i="8"/>
  <c r="V33" i="23" s="1"/>
  <c r="V85" i="23" s="1"/>
  <c r="W33" i="9"/>
  <c r="W41" i="8"/>
  <c r="V41" i="23" s="1"/>
  <c r="V93" i="23" s="1"/>
  <c r="W41" i="9"/>
  <c r="W32" i="8"/>
  <c r="W32" i="9"/>
  <c r="W11" i="8"/>
  <c r="V11" i="23" s="1"/>
  <c r="V63" i="23" s="1"/>
  <c r="W11" i="9"/>
  <c r="W19" i="8"/>
  <c r="V19" i="23" s="1"/>
  <c r="V71" i="23" s="1"/>
  <c r="W19" i="9"/>
  <c r="W34" i="8"/>
  <c r="V34" i="23" s="1"/>
  <c r="V86" i="23" s="1"/>
  <c r="W34" i="9"/>
  <c r="W42" i="8"/>
  <c r="W42" i="9"/>
  <c r="W50" i="8"/>
  <c r="V50" i="23" s="1"/>
  <c r="V102" i="23" s="1"/>
  <c r="W50" i="9"/>
  <c r="W49" i="8"/>
  <c r="V49" i="23" s="1"/>
  <c r="V101" i="23" s="1"/>
  <c r="W49" i="9"/>
  <c r="W48" i="8"/>
  <c r="V48" i="23" s="1"/>
  <c r="V100" i="23" s="1"/>
  <c r="W48" i="9"/>
  <c r="S46" i="13"/>
  <c r="S46" i="12"/>
  <c r="S46" i="11"/>
  <c r="S46" i="10"/>
  <c r="O29" i="12"/>
  <c r="O29" i="13"/>
  <c r="O39" i="12"/>
  <c r="O39" i="24" s="1"/>
  <c r="O81" i="24" s="1"/>
  <c r="O39" i="13"/>
  <c r="O25" i="12"/>
  <c r="O25" i="24" s="1"/>
  <c r="O67" i="24" s="1"/>
  <c r="O25" i="13"/>
  <c r="O19" i="12"/>
  <c r="O19" i="24" s="1"/>
  <c r="O61" i="24" s="1"/>
  <c r="O19" i="13"/>
  <c r="O21" i="12"/>
  <c r="O21" i="13"/>
  <c r="O14" i="12"/>
  <c r="O14" i="24" s="1"/>
  <c r="O56" i="24" s="1"/>
  <c r="O14" i="13"/>
  <c r="O33" i="12"/>
  <c r="O33" i="24" s="1"/>
  <c r="O75" i="24" s="1"/>
  <c r="O33" i="13"/>
  <c r="O27" i="12"/>
  <c r="O27" i="24" s="1"/>
  <c r="O69" i="24" s="1"/>
  <c r="O27" i="13"/>
  <c r="O8" i="12"/>
  <c r="O8" i="13"/>
  <c r="M46" i="8"/>
  <c r="M46" i="23" s="1"/>
  <c r="M98" i="23" s="1"/>
  <c r="M46" i="9"/>
  <c r="U9" i="8"/>
  <c r="T9" i="23" s="1"/>
  <c r="T61" i="23" s="1"/>
  <c r="U9" i="9"/>
  <c r="U17" i="8"/>
  <c r="T17" i="23" s="1"/>
  <c r="T69" i="23" s="1"/>
  <c r="U17" i="9"/>
  <c r="U31" i="8"/>
  <c r="T31" i="23" s="1"/>
  <c r="T83" i="23" s="1"/>
  <c r="U31" i="9"/>
  <c r="U40" i="8"/>
  <c r="T40" i="23" s="1"/>
  <c r="T92" i="23" s="1"/>
  <c r="U40" i="9"/>
  <c r="U30" i="8"/>
  <c r="T30" i="23" s="1"/>
  <c r="T82" i="23" s="1"/>
  <c r="U30" i="9"/>
  <c r="U12" i="8"/>
  <c r="T12" i="23" s="1"/>
  <c r="T64" i="23" s="1"/>
  <c r="U12" i="9"/>
  <c r="U23" i="8"/>
  <c r="T23" i="23" s="1"/>
  <c r="T75" i="23" s="1"/>
  <c r="U23" i="9"/>
  <c r="U35" i="8"/>
  <c r="T35" i="23" s="1"/>
  <c r="T87" i="23" s="1"/>
  <c r="U35" i="9"/>
  <c r="U20" i="8"/>
  <c r="T20" i="23" s="1"/>
  <c r="T72" i="23" s="1"/>
  <c r="U20" i="9"/>
  <c r="U51" i="8"/>
  <c r="T51" i="23" s="1"/>
  <c r="T103" i="23" s="1"/>
  <c r="U51" i="9"/>
  <c r="U50" i="8"/>
  <c r="T50" i="23" s="1"/>
  <c r="T102" i="23" s="1"/>
  <c r="U50" i="9"/>
  <c r="U49" i="8"/>
  <c r="T49" i="23" s="1"/>
  <c r="T101" i="23" s="1"/>
  <c r="U49" i="9"/>
  <c r="L51" i="8"/>
  <c r="L51" i="23" s="1"/>
  <c r="L103" i="23" s="1"/>
  <c r="L51" i="9"/>
  <c r="L37" i="8"/>
  <c r="L37" i="23" s="1"/>
  <c r="L89" i="23" s="1"/>
  <c r="L37" i="9"/>
  <c r="L31" i="8"/>
  <c r="L31" i="23" s="1"/>
  <c r="L83" i="23" s="1"/>
  <c r="L31" i="9"/>
  <c r="L33" i="8"/>
  <c r="L33" i="23" s="1"/>
  <c r="L85" i="23" s="1"/>
  <c r="L33" i="9"/>
  <c r="L19" i="8"/>
  <c r="L19" i="23" s="1"/>
  <c r="L71" i="23" s="1"/>
  <c r="L19" i="9"/>
  <c r="L25" i="8"/>
  <c r="L25" i="23" s="1"/>
  <c r="L77" i="23" s="1"/>
  <c r="L25" i="9"/>
  <c r="L11" i="8"/>
  <c r="L11" i="23" s="1"/>
  <c r="L63" i="23" s="1"/>
  <c r="L17" i="8"/>
  <c r="L17" i="23" s="1"/>
  <c r="L69" i="23" s="1"/>
  <c r="L17" i="9"/>
  <c r="L9" i="8"/>
  <c r="L9" i="23" s="1"/>
  <c r="L61" i="23" s="1"/>
  <c r="L9" i="9"/>
  <c r="L27" i="8"/>
  <c r="L27" i="9"/>
  <c r="L27" i="23" s="1"/>
  <c r="L79" i="23" s="1"/>
  <c r="L8" i="8"/>
  <c r="L8" i="23" s="1"/>
  <c r="L60" i="23" s="1"/>
  <c r="L8" i="9"/>
  <c r="L23" i="8"/>
  <c r="L23" i="23" s="1"/>
  <c r="L75" i="23" s="1"/>
  <c r="L23" i="9"/>
  <c r="M48" i="8"/>
  <c r="M48" i="23" s="1"/>
  <c r="M100" i="23" s="1"/>
  <c r="M48" i="9"/>
  <c r="Q40" i="8"/>
  <c r="Q40" i="9"/>
  <c r="Q40" i="23" s="1"/>
  <c r="Q92" i="23" s="1"/>
  <c r="Q46" i="8"/>
  <c r="Q46" i="23" s="1"/>
  <c r="Q98" i="23" s="1"/>
  <c r="Q46" i="9"/>
  <c r="Q36" i="8"/>
  <c r="Q36" i="23" s="1"/>
  <c r="Q88" i="23" s="1"/>
  <c r="Q36" i="9"/>
  <c r="Q18" i="8"/>
  <c r="Q18" i="23" s="1"/>
  <c r="Q70" i="23" s="1"/>
  <c r="Q18" i="9"/>
  <c r="Q32" i="8"/>
  <c r="Q32" i="9"/>
  <c r="Q32" i="23" s="1"/>
  <c r="Q84" i="23" s="1"/>
  <c r="Q7" i="8"/>
  <c r="Q7" i="23" s="1"/>
  <c r="Q59" i="23" s="1"/>
  <c r="Q7" i="9"/>
  <c r="Q39" i="8"/>
  <c r="Q39" i="23" s="1"/>
  <c r="Q91" i="23" s="1"/>
  <c r="Q39" i="9"/>
  <c r="Q28" i="8"/>
  <c r="Q28" i="23" s="1"/>
  <c r="Q80" i="23" s="1"/>
  <c r="Q28" i="9"/>
  <c r="Q15" i="8"/>
  <c r="Q15" i="9"/>
  <c r="Q15" i="23" s="1"/>
  <c r="Q67" i="23" s="1"/>
  <c r="Q24" i="8"/>
  <c r="Q24" i="23" s="1"/>
  <c r="Q76" i="23" s="1"/>
  <c r="Q24" i="9"/>
  <c r="Q14" i="8"/>
  <c r="Q14" i="23" s="1"/>
  <c r="Q66" i="23" s="1"/>
  <c r="Q14" i="9"/>
  <c r="Q29" i="8"/>
  <c r="Q29" i="23" s="1"/>
  <c r="Q81" i="23" s="1"/>
  <c r="Q29" i="9"/>
  <c r="D4" i="5"/>
  <c r="N56" i="6" s="1"/>
  <c r="D35" i="5"/>
  <c r="X6" i="25" l="1"/>
  <c r="X10" i="25"/>
  <c r="C9" i="26"/>
  <c r="C15" i="26" s="1"/>
  <c r="C7" i="26"/>
  <c r="C13" i="26" s="1"/>
  <c r="C11" i="26"/>
  <c r="I9" i="26"/>
  <c r="I15" i="26" s="1"/>
  <c r="I11" i="26"/>
  <c r="I7" i="26"/>
  <c r="I13" i="26" s="1"/>
  <c r="E9" i="26"/>
  <c r="E15" i="26" s="1"/>
  <c r="E7" i="26"/>
  <c r="E13" i="26" s="1"/>
  <c r="E11" i="26"/>
  <c r="V17" i="24"/>
  <c r="V59" i="24" s="1"/>
  <c r="R5" i="24"/>
  <c r="R47" i="24" s="1"/>
  <c r="AI40" i="9"/>
  <c r="AI12" i="9"/>
  <c r="AI19" i="9"/>
  <c r="AI19" i="8"/>
  <c r="AE19" i="23" s="1"/>
  <c r="AE71" i="23" s="1"/>
  <c r="T35" i="24"/>
  <c r="T77" i="24" s="1"/>
  <c r="T5" i="24"/>
  <c r="T47" i="24" s="1"/>
  <c r="Q21" i="24"/>
  <c r="Q63" i="24" s="1"/>
  <c r="Q18" i="24"/>
  <c r="Q60" i="24" s="1"/>
  <c r="Q8" i="24"/>
  <c r="Q50" i="24" s="1"/>
  <c r="Q32" i="24"/>
  <c r="Q74" i="24" s="1"/>
  <c r="AA49" i="23"/>
  <c r="AA101" i="23" s="1"/>
  <c r="Q25" i="24"/>
  <c r="Q67" i="24" s="1"/>
  <c r="Q17" i="24"/>
  <c r="Q59" i="24" s="1"/>
  <c r="AA22" i="23"/>
  <c r="AA74" i="23" s="1"/>
  <c r="AI46" i="9"/>
  <c r="AI23" i="9"/>
  <c r="AI23" i="8"/>
  <c r="AE23" i="23" s="1"/>
  <c r="AE75" i="23" s="1"/>
  <c r="AI17" i="9"/>
  <c r="AI26" i="9"/>
  <c r="AI20" i="9"/>
  <c r="AI31" i="9"/>
  <c r="AI31" i="8"/>
  <c r="AE31" i="23" s="1"/>
  <c r="AE83" i="23" s="1"/>
  <c r="AI49" i="9"/>
  <c r="AI14" i="9"/>
  <c r="AI43" i="9"/>
  <c r="AI50" i="9"/>
  <c r="AI50" i="8"/>
  <c r="AE50" i="23" s="1"/>
  <c r="AE102" i="23" s="1"/>
  <c r="AI8" i="9"/>
  <c r="AI39" i="9"/>
  <c r="Q15" i="24"/>
  <c r="Q57" i="24" s="1"/>
  <c r="Q39" i="24"/>
  <c r="Q81" i="24" s="1"/>
  <c r="Q31" i="24"/>
  <c r="Q73" i="24" s="1"/>
  <c r="V19" i="24"/>
  <c r="V61" i="24" s="1"/>
  <c r="P32" i="24"/>
  <c r="P74" i="24" s="1"/>
  <c r="AI42" i="9"/>
  <c r="AI48" i="9"/>
  <c r="AI28" i="9"/>
  <c r="Q29" i="24"/>
  <c r="Q71" i="24" s="1"/>
  <c r="Q40" i="24"/>
  <c r="Q82" i="24" s="1"/>
  <c r="O7" i="8"/>
  <c r="O7" i="23" s="1"/>
  <c r="O59" i="23" s="1"/>
  <c r="O10" i="8"/>
  <c r="O10" i="23" s="1"/>
  <c r="O62" i="23" s="1"/>
  <c r="O48" i="8"/>
  <c r="O48" i="23" s="1"/>
  <c r="O100" i="23" s="1"/>
  <c r="O33" i="8"/>
  <c r="O33" i="23" s="1"/>
  <c r="O85" i="23" s="1"/>
  <c r="O37" i="8"/>
  <c r="O37" i="23" s="1"/>
  <c r="O89" i="23" s="1"/>
  <c r="O13" i="8"/>
  <c r="O13" i="23" s="1"/>
  <c r="O65" i="23" s="1"/>
  <c r="V20" i="24"/>
  <c r="V62" i="24" s="1"/>
  <c r="R19" i="24"/>
  <c r="R61" i="24" s="1"/>
  <c r="R30" i="24"/>
  <c r="R72" i="24" s="1"/>
  <c r="R15" i="24"/>
  <c r="R57" i="24" s="1"/>
  <c r="X51" i="8"/>
  <c r="W51" i="23" s="1"/>
  <c r="W103" i="23" s="1"/>
  <c r="Q11" i="24"/>
  <c r="Q53" i="24" s="1"/>
  <c r="Q20" i="24"/>
  <c r="Q62" i="24" s="1"/>
  <c r="Q37" i="24"/>
  <c r="Q79" i="24" s="1"/>
  <c r="Q34" i="24"/>
  <c r="Q76" i="24" s="1"/>
  <c r="X8" i="25"/>
  <c r="Q6" i="24"/>
  <c r="Q48" i="24" s="1"/>
  <c r="G9" i="26" s="1"/>
  <c r="Q14" i="24"/>
  <c r="Q56" i="24" s="1"/>
  <c r="Q23" i="24"/>
  <c r="Q65" i="24" s="1"/>
  <c r="AI41" i="9"/>
  <c r="AI10" i="9"/>
  <c r="AI10" i="8"/>
  <c r="AE10" i="23" s="1"/>
  <c r="AE62" i="23" s="1"/>
  <c r="AI51" i="9"/>
  <c r="AI37" i="9"/>
  <c r="AI11" i="9"/>
  <c r="AI38" i="9"/>
  <c r="AI38" i="8"/>
  <c r="AE38" i="23" s="1"/>
  <c r="AE90" i="23" s="1"/>
  <c r="AI33" i="9"/>
  <c r="AI5" i="9"/>
  <c r="AI53" i="7"/>
  <c r="AI58" i="7" s="1"/>
  <c r="AI12" i="8" s="1"/>
  <c r="AE12" i="23" s="1"/>
  <c r="AE64" i="23" s="1"/>
  <c r="AE27" i="23"/>
  <c r="AE79" i="23" s="1"/>
  <c r="AI27" i="9"/>
  <c r="AI27" i="8"/>
  <c r="AI45" i="9"/>
  <c r="AI16" i="9"/>
  <c r="AI16" i="8"/>
  <c r="AE16" i="23" s="1"/>
  <c r="AE68" i="23" s="1"/>
  <c r="AI22" i="9"/>
  <c r="Q27" i="24"/>
  <c r="Q69" i="24" s="1"/>
  <c r="Q9" i="24"/>
  <c r="Q51" i="24" s="1"/>
  <c r="Q33" i="24"/>
  <c r="Q75" i="24" s="1"/>
  <c r="T22" i="24"/>
  <c r="T64" i="24" s="1"/>
  <c r="R28" i="24"/>
  <c r="R70" i="24" s="1"/>
  <c r="AI9" i="9"/>
  <c r="AI47" i="9"/>
  <c r="AI47" i="8"/>
  <c r="AE47" i="23" s="1"/>
  <c r="AE99" i="23" s="1"/>
  <c r="AI6" i="9"/>
  <c r="AE44" i="23"/>
  <c r="AE96" i="23" s="1"/>
  <c r="AI44" i="9"/>
  <c r="AI44" i="8"/>
  <c r="AI15" i="9"/>
  <c r="O29" i="8"/>
  <c r="O29" i="23" s="1"/>
  <c r="O81" i="23" s="1"/>
  <c r="T20" i="24"/>
  <c r="T62" i="24" s="1"/>
  <c r="T28" i="24"/>
  <c r="T70" i="24" s="1"/>
  <c r="V37" i="24"/>
  <c r="V79" i="24" s="1"/>
  <c r="V5" i="24"/>
  <c r="V47" i="24" s="1"/>
  <c r="P14" i="24"/>
  <c r="P56" i="24" s="1"/>
  <c r="P26" i="24"/>
  <c r="P68" i="24" s="1"/>
  <c r="U29" i="23"/>
  <c r="U81" i="23" s="1"/>
  <c r="X22" i="8"/>
  <c r="W22" i="23" s="1"/>
  <c r="W74" i="23" s="1"/>
  <c r="X5" i="8"/>
  <c r="W5" i="23" s="1"/>
  <c r="W57" i="23" s="1"/>
  <c r="Q7" i="24"/>
  <c r="Q49" i="24" s="1"/>
  <c r="Q13" i="24"/>
  <c r="Q55" i="24" s="1"/>
  <c r="Q22" i="24"/>
  <c r="Q64" i="24" s="1"/>
  <c r="O9" i="25"/>
  <c r="O14" i="25" s="1"/>
  <c r="Q28" i="24"/>
  <c r="Q70" i="24" s="1"/>
  <c r="Q36" i="24"/>
  <c r="Q78" i="24" s="1"/>
  <c r="Q24" i="24"/>
  <c r="Q66" i="24" s="1"/>
  <c r="Q12" i="24"/>
  <c r="Q54" i="24" s="1"/>
  <c r="AI24" i="9"/>
  <c r="AI24" i="8"/>
  <c r="AE24" i="23" s="1"/>
  <c r="AE76" i="23" s="1"/>
  <c r="AI18" i="9"/>
  <c r="AE18" i="23" s="1"/>
  <c r="AE70" i="23" s="1"/>
  <c r="AI18" i="8"/>
  <c r="AE35" i="23"/>
  <c r="AE87" i="23" s="1"/>
  <c r="AI35" i="9"/>
  <c r="AI35" i="8"/>
  <c r="AI36" i="9"/>
  <c r="AI36" i="8"/>
  <c r="AE36" i="23" s="1"/>
  <c r="AE88" i="23" s="1"/>
  <c r="AI25" i="9"/>
  <c r="AI25" i="8"/>
  <c r="AE25" i="23" s="1"/>
  <c r="AE77" i="23" s="1"/>
  <c r="AI21" i="9"/>
  <c r="AE21" i="23" s="1"/>
  <c r="AE73" i="23" s="1"/>
  <c r="AI21" i="8"/>
  <c r="AE32" i="23"/>
  <c r="AE84" i="23" s="1"/>
  <c r="AI32" i="9"/>
  <c r="AI32" i="8"/>
  <c r="AI13" i="9"/>
  <c r="AI13" i="8"/>
  <c r="AE13" i="23" s="1"/>
  <c r="AE65" i="23" s="1"/>
  <c r="AI34" i="9"/>
  <c r="AI34" i="8"/>
  <c r="AE34" i="23" s="1"/>
  <c r="AE86" i="23" s="1"/>
  <c r="AI29" i="9"/>
  <c r="AE29" i="23" s="1"/>
  <c r="AE81" i="23" s="1"/>
  <c r="AI29" i="8"/>
  <c r="AE7" i="23"/>
  <c r="AE59" i="23" s="1"/>
  <c r="AI7" i="9"/>
  <c r="AI7" i="8"/>
  <c r="AI30" i="9"/>
  <c r="AI30" i="8"/>
  <c r="AE30" i="23" s="1"/>
  <c r="AE82" i="23" s="1"/>
  <c r="Q35" i="24"/>
  <c r="Q77" i="24" s="1"/>
  <c r="Q41" i="24"/>
  <c r="Q83" i="24" s="1"/>
  <c r="O11" i="25"/>
  <c r="P13" i="25"/>
  <c r="O13" i="25"/>
  <c r="I14" i="26"/>
  <c r="C14" i="26"/>
  <c r="P14" i="25"/>
  <c r="AC47" i="8"/>
  <c r="AC30" i="8"/>
  <c r="Q30" i="8"/>
  <c r="Q30" i="23" s="1"/>
  <c r="Q82" i="23" s="1"/>
  <c r="X44" i="8"/>
  <c r="W44" i="23" s="1"/>
  <c r="W96" i="23" s="1"/>
  <c r="Q41" i="8"/>
  <c r="Q41" i="23" s="1"/>
  <c r="Q93" i="23" s="1"/>
  <c r="X12" i="8"/>
  <c r="W12" i="23" s="1"/>
  <c r="W64" i="23" s="1"/>
  <c r="P6" i="8"/>
  <c r="P6" i="23" s="1"/>
  <c r="P58" i="23" s="1"/>
  <c r="Q37" i="8"/>
  <c r="Q37" i="23" s="1"/>
  <c r="Q89" i="23" s="1"/>
  <c r="W43" i="8"/>
  <c r="V43" i="23" s="1"/>
  <c r="V95" i="23" s="1"/>
  <c r="X35" i="8"/>
  <c r="W35" i="23" s="1"/>
  <c r="W87" i="23" s="1"/>
  <c r="P26" i="8"/>
  <c r="R53" i="9"/>
  <c r="AC16" i="8"/>
  <c r="AC43" i="8"/>
  <c r="V27" i="12"/>
  <c r="T27" i="24" s="1"/>
  <c r="T69" i="24" s="1"/>
  <c r="V27" i="13"/>
  <c r="V36" i="12"/>
  <c r="T36" i="24" s="1"/>
  <c r="T78" i="24" s="1"/>
  <c r="V36" i="13"/>
  <c r="V23" i="12"/>
  <c r="T23" i="24" s="1"/>
  <c r="T65" i="24" s="1"/>
  <c r="V23" i="13"/>
  <c r="V25" i="12"/>
  <c r="V25" i="13"/>
  <c r="T25" i="24" s="1"/>
  <c r="T67" i="24" s="1"/>
  <c r="V19" i="12"/>
  <c r="T19" i="24" s="1"/>
  <c r="T61" i="24" s="1"/>
  <c r="V19" i="13"/>
  <c r="V21" i="12"/>
  <c r="T21" i="24" s="1"/>
  <c r="T63" i="24" s="1"/>
  <c r="V21" i="13"/>
  <c r="V30" i="12"/>
  <c r="T30" i="24" s="1"/>
  <c r="T72" i="24" s="1"/>
  <c r="V30" i="13"/>
  <c r="V40" i="12"/>
  <c r="V40" i="13"/>
  <c r="T40" i="24" s="1"/>
  <c r="T82" i="24" s="1"/>
  <c r="V9" i="12"/>
  <c r="T9" i="24" s="1"/>
  <c r="T51" i="24" s="1"/>
  <c r="V9" i="13"/>
  <c r="V15" i="12"/>
  <c r="T15" i="24" s="1"/>
  <c r="T57" i="24" s="1"/>
  <c r="V15" i="13"/>
  <c r="M53" i="9"/>
  <c r="AC11" i="8"/>
  <c r="AC25" i="8"/>
  <c r="AC39" i="8"/>
  <c r="AC21" i="8"/>
  <c r="AC36" i="8"/>
  <c r="N24" i="12"/>
  <c r="N24" i="13"/>
  <c r="N24" i="24" s="1"/>
  <c r="N66" i="24" s="1"/>
  <c r="N37" i="12"/>
  <c r="N37" i="24" s="1"/>
  <c r="N79" i="24" s="1"/>
  <c r="N37" i="13"/>
  <c r="N39" i="12"/>
  <c r="N39" i="24" s="1"/>
  <c r="N81" i="24" s="1"/>
  <c r="N39" i="13"/>
  <c r="N17" i="12"/>
  <c r="N17" i="24" s="1"/>
  <c r="N59" i="24" s="1"/>
  <c r="N17" i="13"/>
  <c r="N19" i="12"/>
  <c r="N19" i="13"/>
  <c r="N19" i="24" s="1"/>
  <c r="N61" i="24" s="1"/>
  <c r="N12" i="12"/>
  <c r="N12" i="24" s="1"/>
  <c r="N54" i="24" s="1"/>
  <c r="N12" i="13"/>
  <c r="N14" i="12"/>
  <c r="N14" i="24" s="1"/>
  <c r="N56" i="24" s="1"/>
  <c r="N14" i="13"/>
  <c r="N25" i="12"/>
  <c r="N25" i="24" s="1"/>
  <c r="N67" i="24" s="1"/>
  <c r="N25" i="13"/>
  <c r="N9" i="12"/>
  <c r="N9" i="13"/>
  <c r="N9" i="24" s="1"/>
  <c r="N51" i="24" s="1"/>
  <c r="M20" i="8"/>
  <c r="M20" i="23" s="1"/>
  <c r="M72" i="23" s="1"/>
  <c r="U43" i="12"/>
  <c r="M43" i="12"/>
  <c r="M18" i="8"/>
  <c r="M18" i="23" s="1"/>
  <c r="M70" i="23" s="1"/>
  <c r="O11" i="8"/>
  <c r="O11" i="23" s="1"/>
  <c r="O63" i="23" s="1"/>
  <c r="O14" i="8"/>
  <c r="O14" i="23" s="1"/>
  <c r="O66" i="23" s="1"/>
  <c r="O43" i="8"/>
  <c r="O43" i="23" s="1"/>
  <c r="O95" i="23" s="1"/>
  <c r="O47" i="8"/>
  <c r="O47" i="23" s="1"/>
  <c r="O99" i="23" s="1"/>
  <c r="O23" i="8"/>
  <c r="O23" i="23" s="1"/>
  <c r="O75" i="23" s="1"/>
  <c r="O28" i="8"/>
  <c r="O28" i="23" s="1"/>
  <c r="O80" i="23" s="1"/>
  <c r="M14" i="8"/>
  <c r="M14" i="23" s="1"/>
  <c r="M66" i="23" s="1"/>
  <c r="AC17" i="8"/>
  <c r="AC34" i="8"/>
  <c r="AC28" i="8"/>
  <c r="AC42" i="8"/>
  <c r="AC29" i="8"/>
  <c r="M34" i="8"/>
  <c r="M34" i="23" s="1"/>
  <c r="M86" i="23" s="1"/>
  <c r="Z16" i="12"/>
  <c r="AA16" i="12" s="1"/>
  <c r="AA16" i="11"/>
  <c r="Z16" i="13"/>
  <c r="AA16" i="13" s="1"/>
  <c r="Z22" i="12"/>
  <c r="AA22" i="12" s="1"/>
  <c r="AA22" i="11"/>
  <c r="Z22" i="13"/>
  <c r="AA22" i="13" s="1"/>
  <c r="Z27" i="12"/>
  <c r="AA27" i="12" s="1"/>
  <c r="AA27" i="11"/>
  <c r="Z27" i="13"/>
  <c r="AA27" i="13" s="1"/>
  <c r="Z21" i="12"/>
  <c r="AA21" i="12" s="1"/>
  <c r="AA21" i="11"/>
  <c r="Z21" i="13"/>
  <c r="AA21" i="13" s="1"/>
  <c r="Z23" i="12"/>
  <c r="AA23" i="12" s="1"/>
  <c r="AA23" i="11"/>
  <c r="Z23" i="13"/>
  <c r="AA23" i="13" s="1"/>
  <c r="AA17" i="11"/>
  <c r="Z17" i="12"/>
  <c r="AA17" i="12" s="1"/>
  <c r="Z17" i="13"/>
  <c r="AA17" i="13" s="1"/>
  <c r="AA19" i="11"/>
  <c r="Z19" i="12"/>
  <c r="AA19" i="12" s="1"/>
  <c r="Z19" i="13"/>
  <c r="AA19" i="13" s="1"/>
  <c r="AA9" i="11"/>
  <c r="Z9" i="12"/>
  <c r="AA9" i="12" s="1"/>
  <c r="Z9" i="13"/>
  <c r="AA9" i="13" s="1"/>
  <c r="AA8" i="11"/>
  <c r="Z8" i="12"/>
  <c r="AA8" i="12" s="1"/>
  <c r="Z8" i="13"/>
  <c r="AA8" i="13" s="1"/>
  <c r="T28" i="12"/>
  <c r="W28" i="11"/>
  <c r="T28" i="13"/>
  <c r="T37" i="12"/>
  <c r="R37" i="24" s="1"/>
  <c r="R79" i="24" s="1"/>
  <c r="W37" i="11"/>
  <c r="T37" i="13"/>
  <c r="T11" i="12"/>
  <c r="R11" i="24" s="1"/>
  <c r="R53" i="24" s="1"/>
  <c r="W11" i="11"/>
  <c r="T11" i="13"/>
  <c r="T18" i="12"/>
  <c r="R18" i="24" s="1"/>
  <c r="R60" i="24" s="1"/>
  <c r="W18" i="11"/>
  <c r="T18" i="13"/>
  <c r="T20" i="12"/>
  <c r="R20" i="24" s="1"/>
  <c r="R62" i="24" s="1"/>
  <c r="W20" i="11"/>
  <c r="T20" i="13"/>
  <c r="T38" i="12"/>
  <c r="R38" i="24" s="1"/>
  <c r="R80" i="24" s="1"/>
  <c r="W38" i="11"/>
  <c r="T38" i="13"/>
  <c r="T16" i="12"/>
  <c r="R16" i="24" s="1"/>
  <c r="R58" i="24" s="1"/>
  <c r="W16" i="11"/>
  <c r="T16" i="13"/>
  <c r="T6" i="12"/>
  <c r="R6" i="24" s="1"/>
  <c r="R48" i="24" s="1"/>
  <c r="W6" i="11"/>
  <c r="T6" i="13"/>
  <c r="T5" i="12"/>
  <c r="W5" i="11"/>
  <c r="T5" i="13"/>
  <c r="T43" i="11"/>
  <c r="P36" i="12"/>
  <c r="P36" i="24" s="1"/>
  <c r="P78" i="24" s="1"/>
  <c r="P36" i="13"/>
  <c r="P34" i="12"/>
  <c r="P34" i="24" s="1"/>
  <c r="P76" i="24" s="1"/>
  <c r="P34" i="13"/>
  <c r="P32" i="12"/>
  <c r="P32" i="13"/>
  <c r="P13" i="12"/>
  <c r="P13" i="13"/>
  <c r="P13" i="24" s="1"/>
  <c r="P55" i="24" s="1"/>
  <c r="P11" i="12"/>
  <c r="P11" i="24" s="1"/>
  <c r="P53" i="24" s="1"/>
  <c r="P11" i="13"/>
  <c r="P41" i="12"/>
  <c r="P41" i="24" s="1"/>
  <c r="P83" i="24" s="1"/>
  <c r="P41" i="13"/>
  <c r="P35" i="12"/>
  <c r="P35" i="24" s="1"/>
  <c r="P77" i="24" s="1"/>
  <c r="P35" i="13"/>
  <c r="P5" i="12"/>
  <c r="P5" i="24" s="1"/>
  <c r="P47" i="24" s="1"/>
  <c r="P5" i="13"/>
  <c r="P43" i="11"/>
  <c r="P7" i="12"/>
  <c r="P7" i="24" s="1"/>
  <c r="P49" i="24" s="1"/>
  <c r="P7" i="13"/>
  <c r="V25" i="9"/>
  <c r="V7" i="9"/>
  <c r="V15" i="9"/>
  <c r="V27" i="9"/>
  <c r="V38" i="9"/>
  <c r="V24" i="9"/>
  <c r="V10" i="9"/>
  <c r="V18" i="9"/>
  <c r="V33" i="9"/>
  <c r="V41" i="9"/>
  <c r="V49" i="9"/>
  <c r="V48" i="9"/>
  <c r="Q11" i="8"/>
  <c r="Q11" i="23" s="1"/>
  <c r="Q63" i="23" s="1"/>
  <c r="G9" i="25" s="1"/>
  <c r="G14" i="25" s="1"/>
  <c r="Q43" i="8"/>
  <c r="Q43" i="23" s="1"/>
  <c r="Q95" i="23" s="1"/>
  <c r="Q47" i="8"/>
  <c r="Q47" i="23" s="1"/>
  <c r="Q99" i="23" s="1"/>
  <c r="Q12" i="8"/>
  <c r="Q12" i="23" s="1"/>
  <c r="Q64" i="23" s="1"/>
  <c r="L26" i="8"/>
  <c r="L26" i="23" s="1"/>
  <c r="L78" i="23" s="1"/>
  <c r="L21" i="8"/>
  <c r="L21" i="23" s="1"/>
  <c r="L73" i="23" s="1"/>
  <c r="L36" i="8"/>
  <c r="L36" i="23" s="1"/>
  <c r="L88" i="23" s="1"/>
  <c r="L40" i="8"/>
  <c r="L40" i="23" s="1"/>
  <c r="L92" i="23" s="1"/>
  <c r="L44" i="8"/>
  <c r="L44" i="23" s="1"/>
  <c r="L96" i="23" s="1"/>
  <c r="L48" i="8"/>
  <c r="L48" i="23" s="1"/>
  <c r="L100" i="23" s="1"/>
  <c r="M27" i="8"/>
  <c r="M27" i="23" s="1"/>
  <c r="M79" i="23" s="1"/>
  <c r="U25" i="8"/>
  <c r="T25" i="23" s="1"/>
  <c r="T77" i="23" s="1"/>
  <c r="U14" i="8"/>
  <c r="T14" i="23" s="1"/>
  <c r="T66" i="23" s="1"/>
  <c r="J9" i="25" s="1"/>
  <c r="J14" i="25" s="1"/>
  <c r="U19" i="8"/>
  <c r="T19" i="23" s="1"/>
  <c r="T71" i="23" s="1"/>
  <c r="O43" i="12"/>
  <c r="W51" i="8"/>
  <c r="V51" i="23" s="1"/>
  <c r="V103" i="23" s="1"/>
  <c r="W21" i="8"/>
  <c r="V21" i="23" s="1"/>
  <c r="V73" i="23" s="1"/>
  <c r="W12" i="8"/>
  <c r="V12" i="23" s="1"/>
  <c r="V64" i="23" s="1"/>
  <c r="M26" i="8"/>
  <c r="M26" i="23" s="1"/>
  <c r="M78" i="23" s="1"/>
  <c r="X20" i="8"/>
  <c r="W20" i="23" s="1"/>
  <c r="W72" i="23" s="1"/>
  <c r="X23" i="8"/>
  <c r="W23" i="23" s="1"/>
  <c r="W75" i="23" s="1"/>
  <c r="X30" i="8"/>
  <c r="W30" i="23" s="1"/>
  <c r="W82" i="23" s="1"/>
  <c r="AH12" i="8"/>
  <c r="AD12" i="23" s="1"/>
  <c r="AD64" i="23" s="1"/>
  <c r="AH13" i="8"/>
  <c r="AD13" i="23" s="1"/>
  <c r="AD65" i="23" s="1"/>
  <c r="P13" i="8"/>
  <c r="P13" i="23" s="1"/>
  <c r="P65" i="23" s="1"/>
  <c r="AC7" i="8"/>
  <c r="AC44" i="8"/>
  <c r="AC27" i="8"/>
  <c r="AC45" i="8"/>
  <c r="AC51" i="8"/>
  <c r="L47" i="10"/>
  <c r="L47" i="12" s="1"/>
  <c r="D46" i="5"/>
  <c r="Q44" i="13"/>
  <c r="Q44" i="12"/>
  <c r="Q44" i="10"/>
  <c r="Q44" i="11"/>
  <c r="F30" i="5"/>
  <c r="S58" i="7"/>
  <c r="R58" i="7"/>
  <c r="AC13" i="8"/>
  <c r="AC5" i="8"/>
  <c r="AA5" i="23" s="1"/>
  <c r="AA57" i="23" s="1"/>
  <c r="AC37" i="8"/>
  <c r="AC23" i="8"/>
  <c r="V26" i="12"/>
  <c r="T26" i="24" s="1"/>
  <c r="T68" i="24" s="1"/>
  <c r="V26" i="13"/>
  <c r="V20" i="12"/>
  <c r="W20" i="12" s="1"/>
  <c r="V20" i="13"/>
  <c r="V38" i="12"/>
  <c r="T38" i="24" s="1"/>
  <c r="T80" i="24" s="1"/>
  <c r="V38" i="13"/>
  <c r="V32" i="12"/>
  <c r="T32" i="24" s="1"/>
  <c r="T74" i="24" s="1"/>
  <c r="V32" i="13"/>
  <c r="V34" i="12"/>
  <c r="T34" i="24" s="1"/>
  <c r="T76" i="24" s="1"/>
  <c r="V34" i="13"/>
  <c r="V28" i="12"/>
  <c r="W28" i="12" s="1"/>
  <c r="V28" i="13"/>
  <c r="V13" i="12"/>
  <c r="T13" i="24" s="1"/>
  <c r="T55" i="24" s="1"/>
  <c r="V13" i="13"/>
  <c r="V24" i="12"/>
  <c r="T24" i="24" s="1"/>
  <c r="T66" i="24" s="1"/>
  <c r="V24" i="13"/>
  <c r="V6" i="12"/>
  <c r="T6" i="24" s="1"/>
  <c r="T48" i="24" s="1"/>
  <c r="V6" i="13"/>
  <c r="L41" i="8"/>
  <c r="L41" i="23" s="1"/>
  <c r="L93" i="23" s="1"/>
  <c r="L45" i="8"/>
  <c r="L45" i="23" s="1"/>
  <c r="L97" i="23" s="1"/>
  <c r="L49" i="8"/>
  <c r="L49" i="23" s="1"/>
  <c r="L101" i="23" s="1"/>
  <c r="L18" i="8"/>
  <c r="L18" i="23" s="1"/>
  <c r="L70" i="23" s="1"/>
  <c r="O5" i="8"/>
  <c r="O5" i="23" s="1"/>
  <c r="O57" i="23" s="1"/>
  <c r="O8" i="8"/>
  <c r="O8" i="23" s="1"/>
  <c r="O60" i="23" s="1"/>
  <c r="O24" i="8"/>
  <c r="O24" i="23" s="1"/>
  <c r="O76" i="23" s="1"/>
  <c r="O45" i="8"/>
  <c r="O45" i="23" s="1"/>
  <c r="O97" i="23" s="1"/>
  <c r="O49" i="8"/>
  <c r="O49" i="23" s="1"/>
  <c r="O101" i="23" s="1"/>
  <c r="AC6" i="8"/>
  <c r="AC26" i="8"/>
  <c r="M50" i="8"/>
  <c r="M50" i="23" s="1"/>
  <c r="M102" i="23" s="1"/>
  <c r="N27" i="12"/>
  <c r="N27" i="24" s="1"/>
  <c r="N69" i="24" s="1"/>
  <c r="N27" i="13"/>
  <c r="N21" i="12"/>
  <c r="N21" i="24" s="1"/>
  <c r="N63" i="24" s="1"/>
  <c r="N21" i="13"/>
  <c r="N23" i="12"/>
  <c r="N23" i="24" s="1"/>
  <c r="N65" i="24" s="1"/>
  <c r="N23" i="13"/>
  <c r="N32" i="12"/>
  <c r="N32" i="24" s="1"/>
  <c r="N74" i="24" s="1"/>
  <c r="N32" i="13"/>
  <c r="N38" i="12"/>
  <c r="N38" i="24" s="1"/>
  <c r="N80" i="24" s="1"/>
  <c r="N38" i="13"/>
  <c r="N28" i="12"/>
  <c r="N28" i="13"/>
  <c r="N28" i="24" s="1"/>
  <c r="N70" i="24" s="1"/>
  <c r="N34" i="12"/>
  <c r="N34" i="24" s="1"/>
  <c r="N76" i="24" s="1"/>
  <c r="N34" i="13"/>
  <c r="N7" i="12"/>
  <c r="N7" i="13"/>
  <c r="N7" i="24" s="1"/>
  <c r="N49" i="24" s="1"/>
  <c r="N6" i="12"/>
  <c r="N6" i="24" s="1"/>
  <c r="N48" i="24" s="1"/>
  <c r="N6" i="13"/>
  <c r="L29" i="8"/>
  <c r="L29" i="23" s="1"/>
  <c r="L81" i="23" s="1"/>
  <c r="L24" i="8"/>
  <c r="L24" i="23" s="1"/>
  <c r="L76" i="23" s="1"/>
  <c r="L28" i="8"/>
  <c r="L28" i="23" s="1"/>
  <c r="L80" i="23" s="1"/>
  <c r="L12" i="8"/>
  <c r="L12" i="23" s="1"/>
  <c r="L64" i="23" s="1"/>
  <c r="L20" i="8"/>
  <c r="L20" i="23" s="1"/>
  <c r="L72" i="23" s="1"/>
  <c r="L32" i="8"/>
  <c r="L32" i="23" s="1"/>
  <c r="L84" i="23" s="1"/>
  <c r="M35" i="8"/>
  <c r="M35" i="23" s="1"/>
  <c r="M87" i="23" s="1"/>
  <c r="U28" i="8"/>
  <c r="T28" i="23" s="1"/>
  <c r="T80" i="23" s="1"/>
  <c r="U16" i="8"/>
  <c r="T16" i="23" s="1"/>
  <c r="T68" i="23" s="1"/>
  <c r="U36" i="8"/>
  <c r="T36" i="23" s="1"/>
  <c r="T88" i="23" s="1"/>
  <c r="U53" i="9"/>
  <c r="S5" i="13"/>
  <c r="S43" i="13" s="1"/>
  <c r="R43" i="13"/>
  <c r="AC12" i="8"/>
  <c r="AC48" i="8"/>
  <c r="AC33" i="8"/>
  <c r="Z29" i="12"/>
  <c r="AA29" i="12" s="1"/>
  <c r="AA29" i="11"/>
  <c r="Z29" i="13"/>
  <c r="AA29" i="13" s="1"/>
  <c r="Z31" i="12"/>
  <c r="AA31" i="12" s="1"/>
  <c r="AA31" i="11"/>
  <c r="Z31" i="13"/>
  <c r="AA31" i="13" s="1"/>
  <c r="Z41" i="12"/>
  <c r="AA41" i="12" s="1"/>
  <c r="AA41" i="11"/>
  <c r="Z41" i="13"/>
  <c r="AA41" i="13" s="1"/>
  <c r="Z34" i="12"/>
  <c r="AA34" i="12" s="1"/>
  <c r="AA34" i="11"/>
  <c r="Z34" i="13"/>
  <c r="AA34" i="13" s="1"/>
  <c r="Z40" i="12"/>
  <c r="AA40" i="12" s="1"/>
  <c r="AA40" i="11"/>
  <c r="Z40" i="13"/>
  <c r="AA40" i="13" s="1"/>
  <c r="Z30" i="12"/>
  <c r="AA30" i="12" s="1"/>
  <c r="AA30" i="11"/>
  <c r="Z30" i="13"/>
  <c r="AA30" i="13" s="1"/>
  <c r="Z36" i="12"/>
  <c r="AA36" i="12" s="1"/>
  <c r="AA36" i="11"/>
  <c r="Z36" i="13"/>
  <c r="AA36" i="13" s="1"/>
  <c r="Z26" i="12"/>
  <c r="AA26" i="12" s="1"/>
  <c r="AA26" i="11"/>
  <c r="Z26" i="13"/>
  <c r="AA26" i="13" s="1"/>
  <c r="AA6" i="11"/>
  <c r="Z6" i="12"/>
  <c r="AA6" i="12" s="1"/>
  <c r="Z6" i="13"/>
  <c r="AA6" i="13" s="1"/>
  <c r="AA15" i="11"/>
  <c r="Z15" i="12"/>
  <c r="AA15" i="12" s="1"/>
  <c r="Z15" i="13"/>
  <c r="AA15" i="13" s="1"/>
  <c r="T35" i="12"/>
  <c r="R35" i="24" s="1"/>
  <c r="R77" i="24" s="1"/>
  <c r="W35" i="11"/>
  <c r="T35" i="13"/>
  <c r="T21" i="12"/>
  <c r="W21" i="12" s="1"/>
  <c r="W21" i="11"/>
  <c r="T21" i="13"/>
  <c r="T31" i="12"/>
  <c r="R31" i="24" s="1"/>
  <c r="R73" i="24" s="1"/>
  <c r="W31" i="11"/>
  <c r="T31" i="13"/>
  <c r="T33" i="12"/>
  <c r="W33" i="11"/>
  <c r="T33" i="13"/>
  <c r="R33" i="24" s="1"/>
  <c r="R75" i="24" s="1"/>
  <c r="T27" i="12"/>
  <c r="W27" i="12" s="1"/>
  <c r="W27" i="11"/>
  <c r="T27" i="13"/>
  <c r="W27" i="13" s="1"/>
  <c r="T29" i="12"/>
  <c r="R29" i="24" s="1"/>
  <c r="R71" i="24" s="1"/>
  <c r="W29" i="11"/>
  <c r="T29" i="13"/>
  <c r="T39" i="12"/>
  <c r="R39" i="24" s="1"/>
  <c r="R81" i="24" s="1"/>
  <c r="W39" i="11"/>
  <c r="T39" i="13"/>
  <c r="T10" i="12"/>
  <c r="W10" i="11"/>
  <c r="T10" i="13"/>
  <c r="R10" i="24" s="1"/>
  <c r="R52" i="24" s="1"/>
  <c r="T9" i="12"/>
  <c r="W9" i="12" s="1"/>
  <c r="W9" i="11"/>
  <c r="T9" i="13"/>
  <c r="W9" i="13" s="1"/>
  <c r="P20" i="12"/>
  <c r="P20" i="24" s="1"/>
  <c r="P62" i="24" s="1"/>
  <c r="P20" i="13"/>
  <c r="P18" i="12"/>
  <c r="P18" i="24" s="1"/>
  <c r="P60" i="24" s="1"/>
  <c r="P18" i="13"/>
  <c r="P16" i="12"/>
  <c r="P16" i="24" s="1"/>
  <c r="P58" i="24" s="1"/>
  <c r="P16" i="13"/>
  <c r="P29" i="12"/>
  <c r="P29" i="24" s="1"/>
  <c r="P71" i="24" s="1"/>
  <c r="P29" i="13"/>
  <c r="P39" i="12"/>
  <c r="P39" i="24" s="1"/>
  <c r="P81" i="24" s="1"/>
  <c r="P39" i="13"/>
  <c r="P25" i="12"/>
  <c r="P25" i="24" s="1"/>
  <c r="P67" i="24" s="1"/>
  <c r="P25" i="13"/>
  <c r="P19" i="12"/>
  <c r="P19" i="24" s="1"/>
  <c r="P61" i="24" s="1"/>
  <c r="P19" i="13"/>
  <c r="P9" i="12"/>
  <c r="P9" i="24" s="1"/>
  <c r="P51" i="24" s="1"/>
  <c r="P9" i="13"/>
  <c r="P8" i="12"/>
  <c r="P8" i="24" s="1"/>
  <c r="P50" i="24" s="1"/>
  <c r="P8" i="13"/>
  <c r="V28" i="9"/>
  <c r="V9" i="9"/>
  <c r="V17" i="9"/>
  <c r="V31" i="9"/>
  <c r="V40" i="9"/>
  <c r="V30" i="9"/>
  <c r="V12" i="9"/>
  <c r="V23" i="9"/>
  <c r="V35" i="9"/>
  <c r="V43" i="9"/>
  <c r="V51" i="9"/>
  <c r="V50" i="9"/>
  <c r="Q53" i="9"/>
  <c r="U44" i="8"/>
  <c r="T44" i="23" s="1"/>
  <c r="T96" i="23" s="1"/>
  <c r="U26" i="8"/>
  <c r="T26" i="23" s="1"/>
  <c r="T78" i="23" s="1"/>
  <c r="U34" i="8"/>
  <c r="T34" i="23" s="1"/>
  <c r="T86" i="23" s="1"/>
  <c r="M11" i="8"/>
  <c r="M11" i="23" s="1"/>
  <c r="M63" i="23" s="1"/>
  <c r="W22" i="8"/>
  <c r="V22" i="23" s="1"/>
  <c r="V74" i="23" s="1"/>
  <c r="W53" i="9"/>
  <c r="W20" i="8"/>
  <c r="V20" i="23" s="1"/>
  <c r="V72" i="23" s="1"/>
  <c r="W23" i="8"/>
  <c r="V23" i="23" s="1"/>
  <c r="V75" i="23" s="1"/>
  <c r="M47" i="8"/>
  <c r="M47" i="23" s="1"/>
  <c r="M99" i="23" s="1"/>
  <c r="O9" i="8"/>
  <c r="O9" i="23" s="1"/>
  <c r="O61" i="23" s="1"/>
  <c r="O12" i="8"/>
  <c r="O12" i="23" s="1"/>
  <c r="O64" i="23" s="1"/>
  <c r="O32" i="8"/>
  <c r="O32" i="23" s="1"/>
  <c r="O84" i="23" s="1"/>
  <c r="O36" i="8"/>
  <c r="O36" i="23" s="1"/>
  <c r="O88" i="23" s="1"/>
  <c r="O40" i="8"/>
  <c r="O40" i="23" s="1"/>
  <c r="O92" i="23" s="1"/>
  <c r="O44" i="8"/>
  <c r="O44" i="23" s="1"/>
  <c r="O96" i="23" s="1"/>
  <c r="M10" i="8"/>
  <c r="M10" i="23" s="1"/>
  <c r="M62" i="23" s="1"/>
  <c r="X53" i="9"/>
  <c r="AH41" i="8"/>
  <c r="AD41" i="23" s="1"/>
  <c r="AD93" i="23" s="1"/>
  <c r="AH45" i="8"/>
  <c r="AD45" i="23" s="1"/>
  <c r="AD97" i="23" s="1"/>
  <c r="AH49" i="8"/>
  <c r="AD49" i="23" s="1"/>
  <c r="AD101" i="23" s="1"/>
  <c r="AH26" i="8"/>
  <c r="AD26" i="23" s="1"/>
  <c r="AD78" i="23" s="1"/>
  <c r="P42" i="8"/>
  <c r="P42" i="23" s="1"/>
  <c r="P94" i="23" s="1"/>
  <c r="P40" i="8"/>
  <c r="P40" i="23" s="1"/>
  <c r="P92" i="23" s="1"/>
  <c r="P38" i="8"/>
  <c r="P38" i="23" s="1"/>
  <c r="P90" i="23" s="1"/>
  <c r="AC15" i="8"/>
  <c r="AC50" i="8"/>
  <c r="L47" i="11"/>
  <c r="V29" i="12"/>
  <c r="T29" i="24" s="1"/>
  <c r="T71" i="24" s="1"/>
  <c r="V29" i="13"/>
  <c r="V11" i="12"/>
  <c r="T11" i="24" s="1"/>
  <c r="T53" i="24" s="1"/>
  <c r="V11" i="13"/>
  <c r="V22" i="12"/>
  <c r="V22" i="13"/>
  <c r="V16" i="12"/>
  <c r="W16" i="12" s="1"/>
  <c r="V16" i="13"/>
  <c r="V18" i="12"/>
  <c r="T18" i="24" s="1"/>
  <c r="T60" i="24" s="1"/>
  <c r="V18" i="13"/>
  <c r="V31" i="12"/>
  <c r="T31" i="24" s="1"/>
  <c r="T73" i="24" s="1"/>
  <c r="V31" i="13"/>
  <c r="V33" i="12"/>
  <c r="T33" i="24" s="1"/>
  <c r="T75" i="24" s="1"/>
  <c r="V33" i="13"/>
  <c r="V8" i="12"/>
  <c r="T8" i="24" s="1"/>
  <c r="T50" i="24" s="1"/>
  <c r="V8" i="13"/>
  <c r="V10" i="12"/>
  <c r="T10" i="24" s="1"/>
  <c r="T52" i="24" s="1"/>
  <c r="V10" i="13"/>
  <c r="L53" i="9"/>
  <c r="AC19" i="8"/>
  <c r="AC14" i="8"/>
  <c r="AC40" i="8"/>
  <c r="N30" i="12"/>
  <c r="N30" i="24" s="1"/>
  <c r="N72" i="24" s="1"/>
  <c r="N30" i="13"/>
  <c r="N36" i="12"/>
  <c r="N36" i="24" s="1"/>
  <c r="N78" i="24" s="1"/>
  <c r="N36" i="13"/>
  <c r="N26" i="12"/>
  <c r="N26" i="24" s="1"/>
  <c r="N68" i="24" s="1"/>
  <c r="N26" i="13"/>
  <c r="N16" i="12"/>
  <c r="N16" i="24" s="1"/>
  <c r="N58" i="24" s="1"/>
  <c r="N16" i="13"/>
  <c r="N22" i="12"/>
  <c r="N22" i="24" s="1"/>
  <c r="N64" i="24" s="1"/>
  <c r="N22" i="13"/>
  <c r="N11" i="12"/>
  <c r="N11" i="24" s="1"/>
  <c r="N53" i="24" s="1"/>
  <c r="N11" i="13"/>
  <c r="N18" i="12"/>
  <c r="N18" i="24" s="1"/>
  <c r="N60" i="24" s="1"/>
  <c r="N18" i="13"/>
  <c r="N8" i="12"/>
  <c r="N8" i="24" s="1"/>
  <c r="N50" i="24" s="1"/>
  <c r="N8" i="13"/>
  <c r="N10" i="12"/>
  <c r="N10" i="24" s="1"/>
  <c r="N52" i="24" s="1"/>
  <c r="N10" i="13"/>
  <c r="M43" i="13"/>
  <c r="O19" i="8"/>
  <c r="O19" i="23" s="1"/>
  <c r="O71" i="23" s="1"/>
  <c r="O25" i="8"/>
  <c r="O25" i="23" s="1"/>
  <c r="O77" i="23" s="1"/>
  <c r="O6" i="8"/>
  <c r="O6" i="23" s="1"/>
  <c r="O58" i="23" s="1"/>
  <c r="O41" i="8"/>
  <c r="O41" i="23" s="1"/>
  <c r="O93" i="23" s="1"/>
  <c r="O30" i="8"/>
  <c r="O30" i="23" s="1"/>
  <c r="O82" i="23" s="1"/>
  <c r="O34" i="8"/>
  <c r="O34" i="23" s="1"/>
  <c r="O86" i="23" s="1"/>
  <c r="S43" i="11"/>
  <c r="M16" i="8"/>
  <c r="M16" i="23" s="1"/>
  <c r="M68" i="23" s="1"/>
  <c r="M51" i="8"/>
  <c r="M51" i="23" s="1"/>
  <c r="M103" i="23" s="1"/>
  <c r="M21" i="8"/>
  <c r="M21" i="23" s="1"/>
  <c r="M73" i="23" s="1"/>
  <c r="M45" i="8"/>
  <c r="M45" i="23" s="1"/>
  <c r="M97" i="23" s="1"/>
  <c r="AC20" i="8"/>
  <c r="AC38" i="8"/>
  <c r="AC35" i="8"/>
  <c r="AA12" i="11"/>
  <c r="Z12" i="12"/>
  <c r="AA12" i="12" s="1"/>
  <c r="Z12" i="13"/>
  <c r="AA12" i="13" s="1"/>
  <c r="AA14" i="11"/>
  <c r="Z14" i="12"/>
  <c r="AA14" i="12" s="1"/>
  <c r="Z14" i="13"/>
  <c r="AA14" i="13" s="1"/>
  <c r="AA25" i="11"/>
  <c r="Z25" i="12"/>
  <c r="AA25" i="12" s="1"/>
  <c r="Z25" i="13"/>
  <c r="AA25" i="13" s="1"/>
  <c r="AA18" i="11"/>
  <c r="Z18" i="12"/>
  <c r="AA18" i="12" s="1"/>
  <c r="Z18" i="13"/>
  <c r="AA18" i="13" s="1"/>
  <c r="Z24" i="12"/>
  <c r="AA24" i="12" s="1"/>
  <c r="AA24" i="11"/>
  <c r="Z24" i="13"/>
  <c r="AA24" i="13" s="1"/>
  <c r="AA13" i="11"/>
  <c r="Z13" i="12"/>
  <c r="AA13" i="12" s="1"/>
  <c r="Z13" i="13"/>
  <c r="AA13" i="13" s="1"/>
  <c r="Z20" i="12"/>
  <c r="AA20" i="12" s="1"/>
  <c r="AA20" i="11"/>
  <c r="Z20" i="13"/>
  <c r="AA20" i="13" s="1"/>
  <c r="AA11" i="11"/>
  <c r="Z11" i="12"/>
  <c r="AA11" i="12" s="1"/>
  <c r="Z11" i="13"/>
  <c r="AA11" i="13" s="1"/>
  <c r="AA10" i="11"/>
  <c r="Z10" i="12"/>
  <c r="AA10" i="12" s="1"/>
  <c r="Z10" i="13"/>
  <c r="AA10" i="13" s="1"/>
  <c r="T41" i="12"/>
  <c r="R41" i="24" s="1"/>
  <c r="R83" i="24" s="1"/>
  <c r="W41" i="11"/>
  <c r="T41" i="13"/>
  <c r="T19" i="12"/>
  <c r="W19" i="12" s="1"/>
  <c r="W19" i="11"/>
  <c r="T19" i="13"/>
  <c r="W19" i="13" s="1"/>
  <c r="T40" i="12"/>
  <c r="R40" i="24" s="1"/>
  <c r="R82" i="24" s="1"/>
  <c r="W40" i="11"/>
  <c r="T40" i="13"/>
  <c r="W40" i="13" s="1"/>
  <c r="T14" i="12"/>
  <c r="R14" i="24" s="1"/>
  <c r="R56" i="24" s="1"/>
  <c r="W14" i="11"/>
  <c r="T14" i="13"/>
  <c r="T17" i="12"/>
  <c r="R17" i="24" s="1"/>
  <c r="R59" i="24" s="1"/>
  <c r="W17" i="11"/>
  <c r="T17" i="13"/>
  <c r="T30" i="12"/>
  <c r="W30" i="12" s="1"/>
  <c r="W30" i="11"/>
  <c r="T30" i="13"/>
  <c r="W30" i="13" s="1"/>
  <c r="T12" i="12"/>
  <c r="R12" i="24" s="1"/>
  <c r="R54" i="24" s="1"/>
  <c r="W12" i="11"/>
  <c r="T12" i="13"/>
  <c r="T23" i="12"/>
  <c r="W23" i="12" s="1"/>
  <c r="W23" i="11"/>
  <c r="T23" i="13"/>
  <c r="W23" i="13" s="1"/>
  <c r="T7" i="12"/>
  <c r="R7" i="24" s="1"/>
  <c r="R49" i="24" s="1"/>
  <c r="W7" i="11"/>
  <c r="T7" i="13"/>
  <c r="T15" i="12"/>
  <c r="W15" i="12" s="1"/>
  <c r="W15" i="11"/>
  <c r="T15" i="13"/>
  <c r="P37" i="12"/>
  <c r="P37" i="24" s="1"/>
  <c r="P79" i="24" s="1"/>
  <c r="P37" i="13"/>
  <c r="P31" i="12"/>
  <c r="P31" i="24" s="1"/>
  <c r="P73" i="24" s="1"/>
  <c r="P31" i="13"/>
  <c r="P33" i="12"/>
  <c r="P33" i="24" s="1"/>
  <c r="P75" i="24" s="1"/>
  <c r="P33" i="13"/>
  <c r="P27" i="12"/>
  <c r="P27" i="24" s="1"/>
  <c r="P69" i="24" s="1"/>
  <c r="P27" i="13"/>
  <c r="P12" i="12"/>
  <c r="P12" i="24" s="1"/>
  <c r="P54" i="24" s="1"/>
  <c r="P12" i="13"/>
  <c r="P23" i="12"/>
  <c r="P23" i="24" s="1"/>
  <c r="P65" i="24" s="1"/>
  <c r="P23" i="13"/>
  <c r="P40" i="12"/>
  <c r="P40" i="24" s="1"/>
  <c r="P82" i="24" s="1"/>
  <c r="P40" i="13"/>
  <c r="P38" i="12"/>
  <c r="P38" i="24" s="1"/>
  <c r="P80" i="24" s="1"/>
  <c r="P38" i="13"/>
  <c r="P6" i="12"/>
  <c r="P6" i="24" s="1"/>
  <c r="P48" i="24" s="1"/>
  <c r="P6" i="13"/>
  <c r="P15" i="12"/>
  <c r="P15" i="24" s="1"/>
  <c r="P57" i="24" s="1"/>
  <c r="P15" i="13"/>
  <c r="Y25" i="7"/>
  <c r="Y20" i="7"/>
  <c r="Y18" i="7"/>
  <c r="Y16" i="7"/>
  <c r="Y14" i="7"/>
  <c r="Y12" i="7"/>
  <c r="Y10" i="7"/>
  <c r="Y8" i="7"/>
  <c r="Y6" i="7"/>
  <c r="Y19" i="7"/>
  <c r="Y17" i="7"/>
  <c r="Y15" i="7"/>
  <c r="Y13" i="7"/>
  <c r="Y11" i="7"/>
  <c r="Y9" i="7"/>
  <c r="Y7" i="7"/>
  <c r="Y5" i="7"/>
  <c r="Y32" i="7"/>
  <c r="Y48" i="7"/>
  <c r="Y37" i="7"/>
  <c r="Y26" i="7"/>
  <c r="Y42" i="7"/>
  <c r="Y35" i="7"/>
  <c r="Y51" i="7"/>
  <c r="Y36" i="7"/>
  <c r="Y24" i="7"/>
  <c r="Y41" i="7"/>
  <c r="Y30" i="7"/>
  <c r="Y46" i="7"/>
  <c r="Y22" i="7"/>
  <c r="Y39" i="7"/>
  <c r="Y23" i="7"/>
  <c r="Y40" i="7"/>
  <c r="Y29" i="7"/>
  <c r="Y45" i="7"/>
  <c r="Y34" i="7"/>
  <c r="Y50" i="7"/>
  <c r="Y27" i="7"/>
  <c r="Y43" i="7"/>
  <c r="Y28" i="7"/>
  <c r="Y44" i="7"/>
  <c r="Y33" i="7"/>
  <c r="Y49" i="7"/>
  <c r="Y21" i="7"/>
  <c r="Y38" i="7"/>
  <c r="Y31" i="7"/>
  <c r="Y47" i="7"/>
  <c r="V32" i="9"/>
  <c r="V11" i="9"/>
  <c r="V19" i="9"/>
  <c r="V34" i="9"/>
  <c r="V42" i="9"/>
  <c r="V6" i="9"/>
  <c r="V14" i="9"/>
  <c r="V26" i="9"/>
  <c r="V37" i="9"/>
  <c r="V45" i="9"/>
  <c r="V44" i="9"/>
  <c r="M17" i="8"/>
  <c r="M17" i="23" s="1"/>
  <c r="M69" i="23" s="1"/>
  <c r="L10" i="8"/>
  <c r="L10" i="23" s="1"/>
  <c r="L62" i="23" s="1"/>
  <c r="L13" i="8"/>
  <c r="L13" i="23" s="1"/>
  <c r="L65" i="23" s="1"/>
  <c r="L46" i="8"/>
  <c r="L46" i="23" s="1"/>
  <c r="L98" i="23" s="1"/>
  <c r="L50" i="8"/>
  <c r="L50" i="23" s="1"/>
  <c r="L102" i="23" s="1"/>
  <c r="L38" i="8"/>
  <c r="L38" i="23" s="1"/>
  <c r="L90" i="23" s="1"/>
  <c r="L35" i="8"/>
  <c r="L35" i="23" s="1"/>
  <c r="L87" i="23" s="1"/>
  <c r="U43" i="8"/>
  <c r="T43" i="23" s="1"/>
  <c r="T95" i="23" s="1"/>
  <c r="U37" i="8"/>
  <c r="T37" i="23" s="1"/>
  <c r="T89" i="23" s="1"/>
  <c r="U42" i="8"/>
  <c r="T42" i="23" s="1"/>
  <c r="T94" i="23" s="1"/>
  <c r="U11" i="8"/>
  <c r="T11" i="23" s="1"/>
  <c r="T63" i="23" s="1"/>
  <c r="J7" i="25" s="1"/>
  <c r="J13" i="25" s="1"/>
  <c r="M28" i="8"/>
  <c r="M28" i="23" s="1"/>
  <c r="M80" i="23" s="1"/>
  <c r="M49" i="8"/>
  <c r="M49" i="23" s="1"/>
  <c r="M101" i="23" s="1"/>
  <c r="M36" i="8"/>
  <c r="M36" i="23" s="1"/>
  <c r="M88" i="23" s="1"/>
  <c r="AH19" i="8"/>
  <c r="AD19" i="23" s="1"/>
  <c r="AD71" i="23" s="1"/>
  <c r="AH53" i="9"/>
  <c r="P53" i="9"/>
  <c r="AC10" i="8"/>
  <c r="AC24" i="8"/>
  <c r="AC31" i="8"/>
  <c r="N54" i="8"/>
  <c r="N58" i="8" s="1"/>
  <c r="N54" i="9"/>
  <c r="N54" i="7"/>
  <c r="AD5" i="9"/>
  <c r="AD53" i="9" s="1"/>
  <c r="AC53" i="9"/>
  <c r="AC8" i="8"/>
  <c r="AC41" i="8"/>
  <c r="V12" i="12"/>
  <c r="W12" i="12" s="1"/>
  <c r="V12" i="13"/>
  <c r="V39" i="12"/>
  <c r="T39" i="24" s="1"/>
  <c r="T81" i="24" s="1"/>
  <c r="V39" i="13"/>
  <c r="V41" i="12"/>
  <c r="T41" i="24" s="1"/>
  <c r="T83" i="24" s="1"/>
  <c r="V41" i="13"/>
  <c r="V35" i="12"/>
  <c r="V35" i="13"/>
  <c r="V37" i="12"/>
  <c r="T37" i="24" s="1"/>
  <c r="T79" i="24" s="1"/>
  <c r="V37" i="13"/>
  <c r="V14" i="12"/>
  <c r="T14" i="24" s="1"/>
  <c r="T56" i="24" s="1"/>
  <c r="V14" i="13"/>
  <c r="V17" i="12"/>
  <c r="T17" i="24" s="1"/>
  <c r="T59" i="24" s="1"/>
  <c r="V17" i="13"/>
  <c r="V5" i="12"/>
  <c r="V5" i="13"/>
  <c r="V43" i="11"/>
  <c r="V7" i="12"/>
  <c r="T7" i="24" s="1"/>
  <c r="T49" i="24" s="1"/>
  <c r="V7" i="13"/>
  <c r="L5" i="8"/>
  <c r="L5" i="23" s="1"/>
  <c r="L57" i="23" s="1"/>
  <c r="L39" i="8"/>
  <c r="L39" i="23" s="1"/>
  <c r="L91" i="23" s="1"/>
  <c r="L43" i="8"/>
  <c r="L43" i="23" s="1"/>
  <c r="L95" i="23" s="1"/>
  <c r="L47" i="8"/>
  <c r="L47" i="23" s="1"/>
  <c r="L99" i="23" s="1"/>
  <c r="M30" i="8"/>
  <c r="M30" i="23" s="1"/>
  <c r="M82" i="23" s="1"/>
  <c r="O53" i="9"/>
  <c r="O16" i="8"/>
  <c r="O16" i="23" s="1"/>
  <c r="O68" i="23" s="1"/>
  <c r="O27" i="8"/>
  <c r="O27" i="23" s="1"/>
  <c r="O79" i="23" s="1"/>
  <c r="O31" i="8"/>
  <c r="O31" i="23" s="1"/>
  <c r="O83" i="23" s="1"/>
  <c r="O51" i="8"/>
  <c r="O51" i="23" s="1"/>
  <c r="O103" i="23" s="1"/>
  <c r="O39" i="8"/>
  <c r="O39" i="23" s="1"/>
  <c r="O91" i="23" s="1"/>
  <c r="AC32" i="8"/>
  <c r="AC46" i="8"/>
  <c r="N40" i="12"/>
  <c r="N40" i="24" s="1"/>
  <c r="N82" i="24" s="1"/>
  <c r="N40" i="13"/>
  <c r="N13" i="12"/>
  <c r="N13" i="24" s="1"/>
  <c r="N55" i="24" s="1"/>
  <c r="N13" i="13"/>
  <c r="N20" i="12"/>
  <c r="N20" i="24" s="1"/>
  <c r="N62" i="24" s="1"/>
  <c r="N20" i="13"/>
  <c r="N33" i="12"/>
  <c r="N33" i="24" s="1"/>
  <c r="N75" i="24" s="1"/>
  <c r="N33" i="13"/>
  <c r="N35" i="12"/>
  <c r="N35" i="24" s="1"/>
  <c r="N77" i="24" s="1"/>
  <c r="N35" i="13"/>
  <c r="N29" i="12"/>
  <c r="N29" i="24" s="1"/>
  <c r="N71" i="24" s="1"/>
  <c r="N29" i="13"/>
  <c r="N31" i="12"/>
  <c r="N31" i="24" s="1"/>
  <c r="N73" i="24" s="1"/>
  <c r="N31" i="13"/>
  <c r="N41" i="12"/>
  <c r="N41" i="24" s="1"/>
  <c r="N83" i="24" s="1"/>
  <c r="N41" i="13"/>
  <c r="N5" i="12"/>
  <c r="N5" i="24" s="1"/>
  <c r="N47" i="24" s="1"/>
  <c r="N43" i="11"/>
  <c r="N5" i="13"/>
  <c r="N15" i="12"/>
  <c r="N15" i="24" s="1"/>
  <c r="N57" i="24" s="1"/>
  <c r="N15" i="13"/>
  <c r="L14" i="8"/>
  <c r="L14" i="23" s="1"/>
  <c r="L66" i="23" s="1"/>
  <c r="L15" i="8"/>
  <c r="L15" i="23" s="1"/>
  <c r="L67" i="23" s="1"/>
  <c r="L30" i="8"/>
  <c r="L30" i="23" s="1"/>
  <c r="L82" i="23" s="1"/>
  <c r="L34" i="8"/>
  <c r="L34" i="23" s="1"/>
  <c r="L86" i="23" s="1"/>
  <c r="L7" i="8"/>
  <c r="L7" i="23" s="1"/>
  <c r="L59" i="23" s="1"/>
  <c r="U45" i="8"/>
  <c r="T45" i="23" s="1"/>
  <c r="T97" i="23" s="1"/>
  <c r="U29" i="8"/>
  <c r="T29" i="23" s="1"/>
  <c r="T81" i="23" s="1"/>
  <c r="U21" i="8"/>
  <c r="T21" i="23" s="1"/>
  <c r="T73" i="23" s="1"/>
  <c r="U13" i="8"/>
  <c r="T13" i="23" s="1"/>
  <c r="T65" i="23" s="1"/>
  <c r="M44" i="8"/>
  <c r="M44" i="23" s="1"/>
  <c r="M96" i="23" s="1"/>
  <c r="M42" i="8"/>
  <c r="M42" i="23" s="1"/>
  <c r="M94" i="23" s="1"/>
  <c r="U43" i="13"/>
  <c r="S5" i="12"/>
  <c r="S43" i="12" s="1"/>
  <c r="R43" i="12"/>
  <c r="AC9" i="8"/>
  <c r="Z32" i="12"/>
  <c r="AA32" i="12" s="1"/>
  <c r="AA32" i="11"/>
  <c r="Z32" i="13"/>
  <c r="AA32" i="13" s="1"/>
  <c r="Z38" i="12"/>
  <c r="AA38" i="12" s="1"/>
  <c r="AA38" i="11"/>
  <c r="Z38" i="13"/>
  <c r="AA38" i="13" s="1"/>
  <c r="Z28" i="12"/>
  <c r="AA28" i="12" s="1"/>
  <c r="AA28" i="11"/>
  <c r="Z28" i="13"/>
  <c r="AA28" i="13" s="1"/>
  <c r="Z37" i="12"/>
  <c r="AA37" i="12" s="1"/>
  <c r="AA37" i="11"/>
  <c r="Z37" i="13"/>
  <c r="AA37" i="13" s="1"/>
  <c r="Z39" i="12"/>
  <c r="AA39" i="12" s="1"/>
  <c r="AA39" i="11"/>
  <c r="Z39" i="13"/>
  <c r="AA39" i="13" s="1"/>
  <c r="Z33" i="12"/>
  <c r="AA33" i="12" s="1"/>
  <c r="AA33" i="11"/>
  <c r="Z33" i="13"/>
  <c r="AA33" i="13" s="1"/>
  <c r="Z35" i="12"/>
  <c r="AA35" i="12" s="1"/>
  <c r="AA35" i="11"/>
  <c r="Z35" i="13"/>
  <c r="AA35" i="13" s="1"/>
  <c r="AA5" i="11"/>
  <c r="Z5" i="12"/>
  <c r="Z5" i="13"/>
  <c r="Z43" i="11"/>
  <c r="AA7" i="11"/>
  <c r="Z7" i="12"/>
  <c r="AA7" i="12" s="1"/>
  <c r="Z7" i="13"/>
  <c r="AA7" i="13" s="1"/>
  <c r="T25" i="12"/>
  <c r="W25" i="12" s="1"/>
  <c r="W25" i="11"/>
  <c r="T25" i="13"/>
  <c r="T22" i="12"/>
  <c r="W22" i="12" s="1"/>
  <c r="W22" i="11"/>
  <c r="T22" i="13"/>
  <c r="W22" i="13" s="1"/>
  <c r="T24" i="12"/>
  <c r="W24" i="11"/>
  <c r="T24" i="13"/>
  <c r="W24" i="13" s="1"/>
  <c r="T34" i="12"/>
  <c r="W34" i="12" s="1"/>
  <c r="W34" i="11"/>
  <c r="T34" i="13"/>
  <c r="T36" i="12"/>
  <c r="R36" i="24" s="1"/>
  <c r="R78" i="24" s="1"/>
  <c r="W36" i="11"/>
  <c r="T36" i="13"/>
  <c r="T13" i="12"/>
  <c r="W13" i="12" s="1"/>
  <c r="W13" i="11"/>
  <c r="T13" i="13"/>
  <c r="T32" i="12"/>
  <c r="W32" i="11"/>
  <c r="T32" i="13"/>
  <c r="W32" i="13" s="1"/>
  <c r="T26" i="12"/>
  <c r="W26" i="12" s="1"/>
  <c r="W26" i="11"/>
  <c r="T26" i="13"/>
  <c r="T8" i="12"/>
  <c r="R8" i="24" s="1"/>
  <c r="R50" i="24" s="1"/>
  <c r="W8" i="11"/>
  <c r="T8" i="13"/>
  <c r="W8" i="13" s="1"/>
  <c r="P21" i="12"/>
  <c r="P21" i="24" s="1"/>
  <c r="P63" i="24" s="1"/>
  <c r="P21" i="13"/>
  <c r="P14" i="12"/>
  <c r="P14" i="13"/>
  <c r="P17" i="12"/>
  <c r="P17" i="24" s="1"/>
  <c r="P59" i="24" s="1"/>
  <c r="P17" i="13"/>
  <c r="P30" i="12"/>
  <c r="P30" i="24" s="1"/>
  <c r="P72" i="24" s="1"/>
  <c r="P30" i="13"/>
  <c r="P28" i="12"/>
  <c r="P28" i="24" s="1"/>
  <c r="P70" i="24" s="1"/>
  <c r="P28" i="13"/>
  <c r="P26" i="12"/>
  <c r="P26" i="13"/>
  <c r="P24" i="12"/>
  <c r="P24" i="24" s="1"/>
  <c r="P66" i="24" s="1"/>
  <c r="P24" i="13"/>
  <c r="P22" i="12"/>
  <c r="P22" i="24" s="1"/>
  <c r="P64" i="24" s="1"/>
  <c r="P22" i="13"/>
  <c r="P10" i="12"/>
  <c r="P10" i="24" s="1"/>
  <c r="P52" i="24" s="1"/>
  <c r="P10" i="13"/>
  <c r="V20" i="9"/>
  <c r="V5" i="9"/>
  <c r="V53" i="7"/>
  <c r="V58" i="7" s="1"/>
  <c r="V5" i="8" s="1"/>
  <c r="U5" i="23" s="1"/>
  <c r="U57" i="23" s="1"/>
  <c r="V13" i="8"/>
  <c r="U13" i="23" s="1"/>
  <c r="U65" i="23" s="1"/>
  <c r="V13" i="9"/>
  <c r="V22" i="9"/>
  <c r="V36" i="8"/>
  <c r="V36" i="9"/>
  <c r="U36" i="23" s="1"/>
  <c r="U88" i="23" s="1"/>
  <c r="V21" i="9"/>
  <c r="V8" i="8"/>
  <c r="U8" i="23" s="1"/>
  <c r="U60" i="23" s="1"/>
  <c r="V8" i="9"/>
  <c r="V16" i="9"/>
  <c r="V29" i="8"/>
  <c r="V29" i="9"/>
  <c r="V39" i="9"/>
  <c r="V47" i="8"/>
  <c r="U47" i="23" s="1"/>
  <c r="U99" i="23" s="1"/>
  <c r="V47" i="9"/>
  <c r="V46" i="9"/>
  <c r="Q16" i="8"/>
  <c r="AB43" i="7"/>
  <c r="AB37" i="7"/>
  <c r="AB42" i="7"/>
  <c r="AB11" i="7"/>
  <c r="O43" i="13"/>
  <c r="W36" i="8"/>
  <c r="V36" i="23" s="1"/>
  <c r="V88" i="23" s="1"/>
  <c r="W13" i="8"/>
  <c r="V13" i="23" s="1"/>
  <c r="V65" i="23" s="1"/>
  <c r="W5" i="8"/>
  <c r="M23" i="8"/>
  <c r="M23" i="23" s="1"/>
  <c r="M75" i="23" s="1"/>
  <c r="O17" i="8"/>
  <c r="O17" i="23" s="1"/>
  <c r="O69" i="23" s="1"/>
  <c r="O20" i="8"/>
  <c r="O20" i="23" s="1"/>
  <c r="O72" i="23" s="1"/>
  <c r="O21" i="8"/>
  <c r="O21" i="23" s="1"/>
  <c r="O73" i="23" s="1"/>
  <c r="O26" i="8"/>
  <c r="O26" i="23" s="1"/>
  <c r="O78" i="23" s="1"/>
  <c r="O46" i="8"/>
  <c r="O46" i="23" s="1"/>
  <c r="O98" i="23" s="1"/>
  <c r="M15" i="8"/>
  <c r="M15" i="23" s="1"/>
  <c r="M67" i="23" s="1"/>
  <c r="M12" i="8"/>
  <c r="X43" i="8"/>
  <c r="W43" i="23" s="1"/>
  <c r="W95" i="23" s="1"/>
  <c r="X36" i="8"/>
  <c r="W36" i="23" s="1"/>
  <c r="W88" i="23" s="1"/>
  <c r="AH5" i="8"/>
  <c r="AD5" i="23" s="1"/>
  <c r="AD57" i="23" s="1"/>
  <c r="AH39" i="8"/>
  <c r="AD39" i="23" s="1"/>
  <c r="AD91" i="23" s="1"/>
  <c r="AH43" i="8"/>
  <c r="AD43" i="23" s="1"/>
  <c r="AD95" i="23" s="1"/>
  <c r="P28" i="8"/>
  <c r="P14" i="8"/>
  <c r="P14" i="23" s="1"/>
  <c r="P66" i="23" s="1"/>
  <c r="P22" i="8"/>
  <c r="P5" i="8"/>
  <c r="P5" i="23" s="1"/>
  <c r="P57" i="23" s="1"/>
  <c r="P41" i="8"/>
  <c r="P41" i="23" s="1"/>
  <c r="P93" i="23" s="1"/>
  <c r="AC18" i="8"/>
  <c r="F4" i="5"/>
  <c r="D10" i="5"/>
  <c r="T56" i="6" s="1"/>
  <c r="E4" i="5"/>
  <c r="E30" i="5"/>
  <c r="F9" i="26" l="1"/>
  <c r="F7" i="26"/>
  <c r="F13" i="26" s="1"/>
  <c r="F11" i="26"/>
  <c r="G15" i="26"/>
  <c r="G14" i="26"/>
  <c r="D9" i="26"/>
  <c r="D11" i="26"/>
  <c r="D7" i="26"/>
  <c r="D13" i="26" s="1"/>
  <c r="F9" i="25"/>
  <c r="F14" i="25" s="1"/>
  <c r="F11" i="25"/>
  <c r="F7" i="25"/>
  <c r="F13" i="25" s="1"/>
  <c r="AD31" i="8"/>
  <c r="AA31" i="23"/>
  <c r="AA83" i="23" s="1"/>
  <c r="AD35" i="8"/>
  <c r="AA35" i="23"/>
  <c r="AA87" i="23" s="1"/>
  <c r="AD39" i="8"/>
  <c r="AA39" i="23"/>
  <c r="AA91" i="23" s="1"/>
  <c r="V25" i="24"/>
  <c r="V67" i="24" s="1"/>
  <c r="V15" i="24"/>
  <c r="V57" i="24" s="1"/>
  <c r="V30" i="24"/>
  <c r="V72" i="24" s="1"/>
  <c r="V31" i="24"/>
  <c r="V73" i="24" s="1"/>
  <c r="J9" i="26"/>
  <c r="J11" i="26"/>
  <c r="H9" i="26"/>
  <c r="H11" i="26"/>
  <c r="M53" i="8"/>
  <c r="M12" i="23"/>
  <c r="M64" i="23" s="1"/>
  <c r="C9" i="25" s="1"/>
  <c r="W53" i="8"/>
  <c r="V5" i="23"/>
  <c r="V57" i="23" s="1"/>
  <c r="Q53" i="8"/>
  <c r="Q16" i="23"/>
  <c r="Q68" i="23" s="1"/>
  <c r="W26" i="13"/>
  <c r="W34" i="13"/>
  <c r="AD9" i="8"/>
  <c r="AA9" i="23"/>
  <c r="AA61" i="23" s="1"/>
  <c r="AD46" i="8"/>
  <c r="AA46" i="23"/>
  <c r="AA98" i="23" s="1"/>
  <c r="B9" i="25"/>
  <c r="B14" i="25" s="1"/>
  <c r="B7" i="25"/>
  <c r="B13" i="25" s="1"/>
  <c r="B11" i="25"/>
  <c r="AD41" i="8"/>
  <c r="AA41" i="23"/>
  <c r="AA93" i="23" s="1"/>
  <c r="AD24" i="8"/>
  <c r="AA24" i="23"/>
  <c r="AA76" i="23" s="1"/>
  <c r="X29" i="23"/>
  <c r="X81" i="23" s="1"/>
  <c r="AD38" i="8"/>
  <c r="AA38" i="23"/>
  <c r="AA90" i="23" s="1"/>
  <c r="AD40" i="8"/>
  <c r="AA40" i="23"/>
  <c r="AA92" i="23" s="1"/>
  <c r="AD15" i="8"/>
  <c r="AA15" i="23"/>
  <c r="AA67" i="23" s="1"/>
  <c r="AD26" i="8"/>
  <c r="AA26" i="23"/>
  <c r="AA78" i="23" s="1"/>
  <c r="AD13" i="8"/>
  <c r="AA13" i="23"/>
  <c r="AA65" i="23" s="1"/>
  <c r="AD27" i="8"/>
  <c r="AA27" i="23"/>
  <c r="AA79" i="23" s="1"/>
  <c r="AD42" i="8"/>
  <c r="AA42" i="23"/>
  <c r="AA94" i="23" s="1"/>
  <c r="AD25" i="8"/>
  <c r="AA25" i="23"/>
  <c r="AA77" i="23" s="1"/>
  <c r="AD16" i="8"/>
  <c r="AA16" i="23"/>
  <c r="AA68" i="23" s="1"/>
  <c r="AD47" i="8"/>
  <c r="AA47" i="23"/>
  <c r="AA99" i="23" s="1"/>
  <c r="R13" i="24"/>
  <c r="R55" i="24" s="1"/>
  <c r="R22" i="24"/>
  <c r="R64" i="24" s="1"/>
  <c r="V35" i="24"/>
  <c r="V77" i="24" s="1"/>
  <c r="V28" i="24"/>
  <c r="V70" i="24" s="1"/>
  <c r="AI6" i="8"/>
  <c r="AE6" i="23" s="1"/>
  <c r="AE58" i="23" s="1"/>
  <c r="V9" i="24"/>
  <c r="V51" i="24" s="1"/>
  <c r="AI22" i="8"/>
  <c r="AE22" i="23" s="1"/>
  <c r="AE74" i="23" s="1"/>
  <c r="AI5" i="8"/>
  <c r="AI33" i="8"/>
  <c r="AE33" i="23" s="1"/>
  <c r="AE85" i="23" s="1"/>
  <c r="AI51" i="8"/>
  <c r="AE51" i="23" s="1"/>
  <c r="AE103" i="23" s="1"/>
  <c r="J15" i="25"/>
  <c r="O15" i="25"/>
  <c r="G15" i="25"/>
  <c r="P15" i="25"/>
  <c r="F15" i="25"/>
  <c r="V13" i="24"/>
  <c r="V55" i="24" s="1"/>
  <c r="V14" i="24"/>
  <c r="V56" i="24" s="1"/>
  <c r="AI42" i="8"/>
  <c r="AE42" i="23" s="1"/>
  <c r="AE94" i="23" s="1"/>
  <c r="G7" i="26"/>
  <c r="G13" i="26" s="1"/>
  <c r="V21" i="24"/>
  <c r="V63" i="24" s="1"/>
  <c r="AI8" i="8"/>
  <c r="AE8" i="23" s="1"/>
  <c r="AE60" i="23" s="1"/>
  <c r="AI49" i="8"/>
  <c r="AE49" i="23" s="1"/>
  <c r="AE101" i="23" s="1"/>
  <c r="AI17" i="8"/>
  <c r="AE17" i="23" s="1"/>
  <c r="AE69" i="23" s="1"/>
  <c r="V6" i="24"/>
  <c r="V48" i="24" s="1"/>
  <c r="L9" i="26" s="1"/>
  <c r="V40" i="24"/>
  <c r="V82" i="24" s="1"/>
  <c r="V29" i="24"/>
  <c r="V71" i="24" s="1"/>
  <c r="V16" i="24"/>
  <c r="V58" i="24" s="1"/>
  <c r="T16" i="24"/>
  <c r="T58" i="24" s="1"/>
  <c r="G11" i="25"/>
  <c r="C11" i="25"/>
  <c r="AD45" i="8"/>
  <c r="AA45" i="23"/>
  <c r="AA97" i="23" s="1"/>
  <c r="AD30" i="8"/>
  <c r="AA30" i="23"/>
  <c r="AA82" i="23" s="1"/>
  <c r="R24" i="24"/>
  <c r="R66" i="24" s="1"/>
  <c r="G11" i="26"/>
  <c r="AD18" i="8"/>
  <c r="AA18" i="23"/>
  <c r="AA70" i="23" s="1"/>
  <c r="T9" i="25"/>
  <c r="T14" i="25" s="1"/>
  <c r="T11" i="25"/>
  <c r="T7" i="25"/>
  <c r="T13" i="25" s="1"/>
  <c r="W36" i="13"/>
  <c r="W25" i="13"/>
  <c r="AD32" i="8"/>
  <c r="AA32" i="23"/>
  <c r="AA84" i="23" s="1"/>
  <c r="AD8" i="8"/>
  <c r="AA8" i="23"/>
  <c r="AA60" i="23" s="1"/>
  <c r="AD10" i="8"/>
  <c r="AA10" i="23"/>
  <c r="AA62" i="23" s="1"/>
  <c r="AB44" i="7"/>
  <c r="AB13" i="7"/>
  <c r="AD20" i="8"/>
  <c r="AA20" i="23"/>
  <c r="AA72" i="23" s="1"/>
  <c r="AD14" i="8"/>
  <c r="AA14" i="23"/>
  <c r="AA66" i="23" s="1"/>
  <c r="W21" i="13"/>
  <c r="AD33" i="8"/>
  <c r="AA33" i="23"/>
  <c r="AA85" i="23" s="1"/>
  <c r="AD6" i="8"/>
  <c r="AA6" i="23"/>
  <c r="AA58" i="23" s="1"/>
  <c r="Q7" i="25" s="1"/>
  <c r="Q13" i="25" s="1"/>
  <c r="AD23" i="8"/>
  <c r="AA23" i="23"/>
  <c r="AA75" i="23" s="1"/>
  <c r="AD44" i="8"/>
  <c r="AA44" i="23"/>
  <c r="AA96" i="23" s="1"/>
  <c r="AD28" i="8"/>
  <c r="AA28" i="23"/>
  <c r="AA80" i="23" s="1"/>
  <c r="AD36" i="8"/>
  <c r="AA36" i="23"/>
  <c r="AA88" i="23" s="1"/>
  <c r="AD11" i="8"/>
  <c r="AA11" i="23"/>
  <c r="AA63" i="23" s="1"/>
  <c r="E14" i="26"/>
  <c r="R25" i="24"/>
  <c r="R67" i="24" s="1"/>
  <c r="V33" i="24"/>
  <c r="V75" i="24" s="1"/>
  <c r="V38" i="24"/>
  <c r="V80" i="24" s="1"/>
  <c r="V23" i="24"/>
  <c r="V65" i="24" s="1"/>
  <c r="AI37" i="8"/>
  <c r="AE37" i="23" s="1"/>
  <c r="AE89" i="23" s="1"/>
  <c r="R23" i="24"/>
  <c r="R65" i="24" s="1"/>
  <c r="V10" i="24"/>
  <c r="V52" i="24" s="1"/>
  <c r="V24" i="24"/>
  <c r="V66" i="24" s="1"/>
  <c r="V12" i="24"/>
  <c r="V54" i="24" s="1"/>
  <c r="AI48" i="8"/>
  <c r="AE48" i="23" s="1"/>
  <c r="AE100" i="23" s="1"/>
  <c r="V27" i="24"/>
  <c r="V69" i="24" s="1"/>
  <c r="AI39" i="8"/>
  <c r="AE39" i="23" s="1"/>
  <c r="AE91" i="23" s="1"/>
  <c r="AI14" i="8"/>
  <c r="AE14" i="23" s="1"/>
  <c r="AE66" i="23" s="1"/>
  <c r="AI26" i="8"/>
  <c r="AE26" i="23" s="1"/>
  <c r="AE78" i="23" s="1"/>
  <c r="R21" i="24"/>
  <c r="R63" i="24" s="1"/>
  <c r="V26" i="24"/>
  <c r="V68" i="24" s="1"/>
  <c r="V34" i="24"/>
  <c r="V76" i="24" s="1"/>
  <c r="AI40" i="8"/>
  <c r="AE40" i="23" s="1"/>
  <c r="AE92" i="23" s="1"/>
  <c r="G7" i="25"/>
  <c r="G13" i="25" s="1"/>
  <c r="J11" i="25"/>
  <c r="C7" i="25"/>
  <c r="C13" i="25" s="1"/>
  <c r="AD50" i="8"/>
  <c r="AA50" i="23"/>
  <c r="AA102" i="23" s="1"/>
  <c r="AD12" i="8"/>
  <c r="AA12" i="23"/>
  <c r="AA64" i="23" s="1"/>
  <c r="AD29" i="8"/>
  <c r="AA29" i="23"/>
  <c r="AA81" i="23" s="1"/>
  <c r="AD17" i="8"/>
  <c r="AA17" i="23"/>
  <c r="AA69" i="23" s="1"/>
  <c r="AD43" i="8"/>
  <c r="AA43" i="23"/>
  <c r="AA95" i="23" s="1"/>
  <c r="R32" i="24"/>
  <c r="R74" i="24" s="1"/>
  <c r="W13" i="13"/>
  <c r="AB26" i="7"/>
  <c r="AB34" i="7"/>
  <c r="X51" i="23"/>
  <c r="X103" i="23" s="1"/>
  <c r="W15" i="13"/>
  <c r="AD19" i="8"/>
  <c r="AA19" i="23"/>
  <c r="AA71" i="23" s="1"/>
  <c r="AD48" i="8"/>
  <c r="AA48" i="23"/>
  <c r="AA100" i="23" s="1"/>
  <c r="E9" i="25"/>
  <c r="E14" i="25" s="1"/>
  <c r="E11" i="25"/>
  <c r="E7" i="25"/>
  <c r="E13" i="25" s="1"/>
  <c r="AD37" i="8"/>
  <c r="AA37" i="23"/>
  <c r="AA89" i="23" s="1"/>
  <c r="AD51" i="8"/>
  <c r="AA51" i="23"/>
  <c r="AA103" i="23" s="1"/>
  <c r="AD7" i="8"/>
  <c r="AA7" i="23"/>
  <c r="AA59" i="23" s="1"/>
  <c r="AD34" i="8"/>
  <c r="AA34" i="23"/>
  <c r="AA86" i="23" s="1"/>
  <c r="AD21" i="8"/>
  <c r="AA21" i="23"/>
  <c r="AA73" i="23" s="1"/>
  <c r="M9" i="25"/>
  <c r="M14" i="25" s="1"/>
  <c r="M7" i="25"/>
  <c r="M13" i="25" s="1"/>
  <c r="M11" i="25"/>
  <c r="R26" i="24"/>
  <c r="R68" i="24" s="1"/>
  <c r="R34" i="24"/>
  <c r="R76" i="24" s="1"/>
  <c r="V7" i="24"/>
  <c r="V49" i="24" s="1"/>
  <c r="V39" i="24"/>
  <c r="V81" i="24" s="1"/>
  <c r="V32" i="24"/>
  <c r="V74" i="24" s="1"/>
  <c r="AI15" i="8"/>
  <c r="AE15" i="23" s="1"/>
  <c r="AE67" i="23" s="1"/>
  <c r="AI9" i="8"/>
  <c r="AE9" i="23" s="1"/>
  <c r="AE61" i="23" s="1"/>
  <c r="V22" i="24"/>
  <c r="V64" i="24" s="1"/>
  <c r="AI45" i="8"/>
  <c r="AE45" i="23" s="1"/>
  <c r="AE97" i="23" s="1"/>
  <c r="AI53" i="9"/>
  <c r="AI11" i="8"/>
  <c r="AE11" i="23" s="1"/>
  <c r="AE63" i="23" s="1"/>
  <c r="AI41" i="8"/>
  <c r="AE41" i="23" s="1"/>
  <c r="AE93" i="23" s="1"/>
  <c r="V11" i="24"/>
  <c r="V53" i="24" s="1"/>
  <c r="V18" i="24"/>
  <c r="V60" i="24" s="1"/>
  <c r="AI28" i="8"/>
  <c r="AE28" i="23" s="1"/>
  <c r="AE80" i="23" s="1"/>
  <c r="AI43" i="8"/>
  <c r="AE43" i="23" s="1"/>
  <c r="AE95" i="23" s="1"/>
  <c r="AI20" i="8"/>
  <c r="AE20" i="23" s="1"/>
  <c r="AE72" i="23" s="1"/>
  <c r="AI46" i="8"/>
  <c r="AE46" i="23" s="1"/>
  <c r="AE98" i="23" s="1"/>
  <c r="R9" i="24"/>
  <c r="R51" i="24" s="1"/>
  <c r="H7" i="26" s="1"/>
  <c r="H13" i="26" s="1"/>
  <c r="R27" i="24"/>
  <c r="R69" i="24" s="1"/>
  <c r="V36" i="24"/>
  <c r="V78" i="24" s="1"/>
  <c r="V41" i="24"/>
  <c r="V83" i="24" s="1"/>
  <c r="T12" i="24"/>
  <c r="T54" i="24" s="1"/>
  <c r="J7" i="26" s="1"/>
  <c r="J13" i="26" s="1"/>
  <c r="V8" i="24"/>
  <c r="V50" i="24" s="1"/>
  <c r="W10" i="12"/>
  <c r="W14" i="12"/>
  <c r="AH53" i="8"/>
  <c r="X53" i="8"/>
  <c r="V46" i="8"/>
  <c r="U46" i="23" s="1"/>
  <c r="U98" i="23" s="1"/>
  <c r="V39" i="8"/>
  <c r="U39" i="23" s="1"/>
  <c r="U91" i="23" s="1"/>
  <c r="V16" i="8"/>
  <c r="U16" i="23" s="1"/>
  <c r="U68" i="23" s="1"/>
  <c r="V21" i="8"/>
  <c r="U21" i="23" s="1"/>
  <c r="U73" i="23" s="1"/>
  <c r="V22" i="8"/>
  <c r="U22" i="23" s="1"/>
  <c r="U74" i="23" s="1"/>
  <c r="AA5" i="12"/>
  <c r="AA43" i="12" s="1"/>
  <c r="Z43" i="12"/>
  <c r="L53" i="8"/>
  <c r="V43" i="13"/>
  <c r="V45" i="8"/>
  <c r="U45" i="23" s="1"/>
  <c r="U97" i="23" s="1"/>
  <c r="V26" i="8"/>
  <c r="U26" i="23" s="1"/>
  <c r="U78" i="23" s="1"/>
  <c r="V6" i="8"/>
  <c r="U6" i="23" s="1"/>
  <c r="U58" i="23" s="1"/>
  <c r="K11" i="25" s="1"/>
  <c r="V34" i="8"/>
  <c r="U34" i="23" s="1"/>
  <c r="U86" i="23" s="1"/>
  <c r="V11" i="8"/>
  <c r="U11" i="23" s="1"/>
  <c r="U63" i="23" s="1"/>
  <c r="K9" i="25" s="1"/>
  <c r="Y31" i="9"/>
  <c r="AB31" i="9" s="1"/>
  <c r="AB31" i="7"/>
  <c r="Y33" i="9"/>
  <c r="AB33" i="9" s="1"/>
  <c r="AB33" i="7"/>
  <c r="Y27" i="9"/>
  <c r="AB27" i="9" s="1"/>
  <c r="AB27" i="7"/>
  <c r="Y29" i="9"/>
  <c r="AB29" i="9" s="1"/>
  <c r="AB29" i="7"/>
  <c r="Y22" i="9"/>
  <c r="AB22" i="9" s="1"/>
  <c r="AB22" i="7"/>
  <c r="Y24" i="9"/>
  <c r="AB24" i="9" s="1"/>
  <c r="AB24" i="7"/>
  <c r="Y42" i="9"/>
  <c r="AB42" i="9" s="1"/>
  <c r="Y32" i="9"/>
  <c r="AB32" i="9" s="1"/>
  <c r="AB32" i="7"/>
  <c r="Y11" i="9"/>
  <c r="AB11" i="9" s="1"/>
  <c r="Y19" i="9"/>
  <c r="AB19" i="9" s="1"/>
  <c r="AB19" i="7"/>
  <c r="Y12" i="9"/>
  <c r="AB12" i="9" s="1"/>
  <c r="AB12" i="7"/>
  <c r="Y20" i="9"/>
  <c r="AB20" i="9" s="1"/>
  <c r="AB20" i="7"/>
  <c r="W14" i="13"/>
  <c r="V50" i="8"/>
  <c r="U50" i="23" s="1"/>
  <c r="U102" i="23" s="1"/>
  <c r="V43" i="8"/>
  <c r="U43" i="23" s="1"/>
  <c r="U95" i="23" s="1"/>
  <c r="V23" i="8"/>
  <c r="U23" i="23" s="1"/>
  <c r="U75" i="23" s="1"/>
  <c r="V30" i="8"/>
  <c r="U30" i="23" s="1"/>
  <c r="U82" i="23" s="1"/>
  <c r="V31" i="8"/>
  <c r="U31" i="23" s="1"/>
  <c r="U83" i="23" s="1"/>
  <c r="V9" i="8"/>
  <c r="U9" i="23" s="1"/>
  <c r="U61" i="23" s="1"/>
  <c r="W10" i="13"/>
  <c r="W29" i="12"/>
  <c r="W33" i="13"/>
  <c r="V48" i="8"/>
  <c r="U48" i="23" s="1"/>
  <c r="U100" i="23" s="1"/>
  <c r="V41" i="8"/>
  <c r="U41" i="23" s="1"/>
  <c r="U93" i="23" s="1"/>
  <c r="V18" i="8"/>
  <c r="U18" i="23" s="1"/>
  <c r="U70" i="23" s="1"/>
  <c r="V24" i="8"/>
  <c r="U24" i="23" s="1"/>
  <c r="U76" i="23" s="1"/>
  <c r="V27" i="8"/>
  <c r="U27" i="23" s="1"/>
  <c r="U79" i="23" s="1"/>
  <c r="V7" i="8"/>
  <c r="U7" i="23" s="1"/>
  <c r="U59" i="23" s="1"/>
  <c r="W43" i="11"/>
  <c r="W6" i="12"/>
  <c r="W38" i="13"/>
  <c r="W18" i="12"/>
  <c r="W37" i="13"/>
  <c r="W40" i="12"/>
  <c r="W36" i="12"/>
  <c r="N55" i="9"/>
  <c r="N55" i="8"/>
  <c r="N55" i="7"/>
  <c r="V20" i="8"/>
  <c r="U20" i="23" s="1"/>
  <c r="U72" i="23" s="1"/>
  <c r="AA43" i="11"/>
  <c r="N43" i="13"/>
  <c r="V43" i="12"/>
  <c r="Y38" i="9"/>
  <c r="AB38" i="9" s="1"/>
  <c r="AB38" i="7"/>
  <c r="Y44" i="9"/>
  <c r="AB44" i="9" s="1"/>
  <c r="Y50" i="9"/>
  <c r="AB50" i="9" s="1"/>
  <c r="AB50" i="7"/>
  <c r="Y40" i="9"/>
  <c r="AB40" i="9" s="1"/>
  <c r="AB40" i="7"/>
  <c r="Y46" i="9"/>
  <c r="AB46" i="9" s="1"/>
  <c r="AB46" i="7"/>
  <c r="Y36" i="9"/>
  <c r="AB36" i="9" s="1"/>
  <c r="AB36" i="7"/>
  <c r="Y26" i="9"/>
  <c r="AB26" i="9" s="1"/>
  <c r="Y5" i="9"/>
  <c r="Y53" i="7"/>
  <c r="Y58" i="7" s="1"/>
  <c r="Y29" i="8" s="1"/>
  <c r="AB29" i="8" s="1"/>
  <c r="AB5" i="7"/>
  <c r="Y13" i="9"/>
  <c r="AB13" i="9" s="1"/>
  <c r="Y6" i="9"/>
  <c r="AB6" i="9" s="1"/>
  <c r="Y14" i="9"/>
  <c r="AB14" i="9" s="1"/>
  <c r="Y25" i="9"/>
  <c r="AB25" i="9" s="1"/>
  <c r="AB25" i="7"/>
  <c r="W7" i="13"/>
  <c r="W17" i="13"/>
  <c r="W41" i="13"/>
  <c r="W39" i="12"/>
  <c r="W31" i="12"/>
  <c r="W35" i="13"/>
  <c r="R50" i="8"/>
  <c r="R50" i="23" s="1"/>
  <c r="R102" i="23" s="1"/>
  <c r="R39" i="8"/>
  <c r="R39" i="23" s="1"/>
  <c r="R91" i="23" s="1"/>
  <c r="R37" i="8"/>
  <c r="R37" i="23" s="1"/>
  <c r="R89" i="23" s="1"/>
  <c r="R31" i="8"/>
  <c r="R31" i="23" s="1"/>
  <c r="R83" i="23" s="1"/>
  <c r="R12" i="8"/>
  <c r="R12" i="23" s="1"/>
  <c r="R64" i="23" s="1"/>
  <c r="R25" i="8"/>
  <c r="R25" i="23" s="1"/>
  <c r="R77" i="23" s="1"/>
  <c r="R9" i="8"/>
  <c r="R9" i="23" s="1"/>
  <c r="R61" i="23" s="1"/>
  <c r="R17" i="8"/>
  <c r="R17" i="23" s="1"/>
  <c r="R69" i="23" s="1"/>
  <c r="R21" i="8"/>
  <c r="R48" i="8"/>
  <c r="R48" i="23" s="1"/>
  <c r="R100" i="23" s="1"/>
  <c r="R19" i="8"/>
  <c r="R19" i="23" s="1"/>
  <c r="R71" i="23" s="1"/>
  <c r="R13" i="8"/>
  <c r="R13" i="23" s="1"/>
  <c r="R65" i="23" s="1"/>
  <c r="R22" i="8"/>
  <c r="R34" i="8"/>
  <c r="R34" i="23" s="1"/>
  <c r="R86" i="23" s="1"/>
  <c r="R46" i="8"/>
  <c r="R46" i="23" s="1"/>
  <c r="R98" i="23" s="1"/>
  <c r="R51" i="8"/>
  <c r="R51" i="23" s="1"/>
  <c r="R103" i="23" s="1"/>
  <c r="R38" i="8"/>
  <c r="R38" i="23" s="1"/>
  <c r="R90" i="23" s="1"/>
  <c r="R6" i="8"/>
  <c r="R6" i="23" s="1"/>
  <c r="R58" i="23" s="1"/>
  <c r="R14" i="8"/>
  <c r="R14" i="23" s="1"/>
  <c r="R66" i="23" s="1"/>
  <c r="R26" i="8"/>
  <c r="R28" i="8"/>
  <c r="R11" i="8"/>
  <c r="R11" i="23" s="1"/>
  <c r="R63" i="23" s="1"/>
  <c r="R24" i="8"/>
  <c r="R40" i="8"/>
  <c r="R40" i="23" s="1"/>
  <c r="R92" i="23" s="1"/>
  <c r="R10" i="8"/>
  <c r="R10" i="23" s="1"/>
  <c r="R62" i="23" s="1"/>
  <c r="R7" i="8"/>
  <c r="R7" i="23" s="1"/>
  <c r="R59" i="23" s="1"/>
  <c r="R15" i="8"/>
  <c r="R15" i="23" s="1"/>
  <c r="R67" i="23" s="1"/>
  <c r="R27" i="8"/>
  <c r="R30" i="8"/>
  <c r="R30" i="23" s="1"/>
  <c r="R82" i="23" s="1"/>
  <c r="R43" i="8"/>
  <c r="R43" i="23" s="1"/>
  <c r="R95" i="23" s="1"/>
  <c r="R41" i="8"/>
  <c r="R41" i="23" s="1"/>
  <c r="R93" i="23" s="1"/>
  <c r="R42" i="8"/>
  <c r="R42" i="23" s="1"/>
  <c r="R94" i="23" s="1"/>
  <c r="R47" i="8"/>
  <c r="R47" i="23" s="1"/>
  <c r="R99" i="23" s="1"/>
  <c r="R33" i="8"/>
  <c r="R33" i="23" s="1"/>
  <c r="R85" i="23" s="1"/>
  <c r="R18" i="8"/>
  <c r="R18" i="23" s="1"/>
  <c r="R70" i="23" s="1"/>
  <c r="R20" i="8"/>
  <c r="R20" i="23" s="1"/>
  <c r="R72" i="23" s="1"/>
  <c r="R36" i="8"/>
  <c r="R36" i="23" s="1"/>
  <c r="R88" i="23" s="1"/>
  <c r="R44" i="8"/>
  <c r="R44" i="23" s="1"/>
  <c r="R96" i="23" s="1"/>
  <c r="R23" i="8"/>
  <c r="R45" i="8"/>
  <c r="R45" i="23" s="1"/>
  <c r="R97" i="23" s="1"/>
  <c r="R35" i="8"/>
  <c r="R35" i="23" s="1"/>
  <c r="R87" i="23" s="1"/>
  <c r="R32" i="8"/>
  <c r="R32" i="23" s="1"/>
  <c r="R84" i="23" s="1"/>
  <c r="R49" i="8"/>
  <c r="R49" i="23" s="1"/>
  <c r="R101" i="23" s="1"/>
  <c r="R8" i="8"/>
  <c r="R8" i="23" s="1"/>
  <c r="R60" i="23" s="1"/>
  <c r="R16" i="8"/>
  <c r="R16" i="23" s="1"/>
  <c r="R68" i="23" s="1"/>
  <c r="R29" i="8"/>
  <c r="R5" i="8"/>
  <c r="R5" i="23" s="1"/>
  <c r="R57" i="23" s="1"/>
  <c r="F35" i="5"/>
  <c r="L46" i="13"/>
  <c r="L46" i="12"/>
  <c r="L46" i="11"/>
  <c r="L46" i="10"/>
  <c r="W5" i="12"/>
  <c r="T43" i="12"/>
  <c r="W16" i="13"/>
  <c r="W11" i="13"/>
  <c r="T54" i="8"/>
  <c r="T54" i="9"/>
  <c r="T54" i="7"/>
  <c r="V53" i="9"/>
  <c r="V44" i="8"/>
  <c r="U44" i="23" s="1"/>
  <c r="U96" i="23" s="1"/>
  <c r="V37" i="8"/>
  <c r="V14" i="8"/>
  <c r="U14" i="23" s="1"/>
  <c r="U66" i="23" s="1"/>
  <c r="V42" i="8"/>
  <c r="U42" i="23" s="1"/>
  <c r="U94" i="23" s="1"/>
  <c r="V19" i="8"/>
  <c r="U19" i="23" s="1"/>
  <c r="U71" i="23" s="1"/>
  <c r="V32" i="8"/>
  <c r="U32" i="23" s="1"/>
  <c r="U84" i="23" s="1"/>
  <c r="Y21" i="8"/>
  <c r="AB21" i="8" s="1"/>
  <c r="Y21" i="9"/>
  <c r="AB21" i="9" s="1"/>
  <c r="AB21" i="7"/>
  <c r="Y28" i="8"/>
  <c r="X28" i="23" s="1"/>
  <c r="X80" i="23" s="1"/>
  <c r="Y28" i="9"/>
  <c r="AB28" i="9" s="1"/>
  <c r="AB28" i="7"/>
  <c r="Y34" i="9"/>
  <c r="AB34" i="9" s="1"/>
  <c r="Y23" i="8"/>
  <c r="X23" i="23" s="1"/>
  <c r="X75" i="23" s="1"/>
  <c r="Y23" i="9"/>
  <c r="AB23" i="9" s="1"/>
  <c r="Y30" i="9"/>
  <c r="AB30" i="9" s="1"/>
  <c r="AB30" i="7"/>
  <c r="Y51" i="8"/>
  <c r="Y51" i="9"/>
  <c r="AB51" i="9" s="1"/>
  <c r="AB51" i="7"/>
  <c r="Y37" i="8"/>
  <c r="X37" i="23" s="1"/>
  <c r="X89" i="23" s="1"/>
  <c r="Y37" i="9"/>
  <c r="AB37" i="9" s="1"/>
  <c r="Y7" i="8"/>
  <c r="X7" i="23" s="1"/>
  <c r="X59" i="23" s="1"/>
  <c r="Y7" i="9"/>
  <c r="AB7" i="9" s="1"/>
  <c r="AB7" i="7"/>
  <c r="Y15" i="8"/>
  <c r="X15" i="23" s="1"/>
  <c r="X67" i="23" s="1"/>
  <c r="Y15" i="9"/>
  <c r="AB15" i="9" s="1"/>
  <c r="AB15" i="7"/>
  <c r="Y8" i="8"/>
  <c r="AB8" i="8" s="1"/>
  <c r="Y8" i="9"/>
  <c r="AB8" i="9" s="1"/>
  <c r="AB8" i="7"/>
  <c r="Y16" i="8"/>
  <c r="AB16" i="8" s="1"/>
  <c r="Y16" i="9"/>
  <c r="AB16" i="9" s="1"/>
  <c r="AB16" i="7"/>
  <c r="U53" i="8"/>
  <c r="V51" i="8"/>
  <c r="U51" i="23" s="1"/>
  <c r="U103" i="23" s="1"/>
  <c r="V35" i="8"/>
  <c r="U35" i="23" s="1"/>
  <c r="U87" i="23" s="1"/>
  <c r="V12" i="8"/>
  <c r="U12" i="23" s="1"/>
  <c r="U64" i="23" s="1"/>
  <c r="V40" i="8"/>
  <c r="U40" i="23" s="1"/>
  <c r="U92" i="23" s="1"/>
  <c r="V17" i="8"/>
  <c r="U17" i="23" s="1"/>
  <c r="U69" i="23" s="1"/>
  <c r="V28" i="8"/>
  <c r="U28" i="23" s="1"/>
  <c r="U80" i="23" s="1"/>
  <c r="W29" i="13"/>
  <c r="W33" i="12"/>
  <c r="W24" i="12"/>
  <c r="W32" i="12"/>
  <c r="S36" i="8"/>
  <c r="S44" i="8"/>
  <c r="S23" i="8"/>
  <c r="S34" i="8"/>
  <c r="S46" i="8"/>
  <c r="S51" i="8"/>
  <c r="S38" i="8"/>
  <c r="S6" i="8"/>
  <c r="S14" i="8"/>
  <c r="S26" i="8"/>
  <c r="S28" i="8"/>
  <c r="S11" i="8"/>
  <c r="S24" i="8"/>
  <c r="S48" i="8"/>
  <c r="S19" i="8"/>
  <c r="S43" i="8"/>
  <c r="S41" i="8"/>
  <c r="S42" i="8"/>
  <c r="S47" i="8"/>
  <c r="S33" i="8"/>
  <c r="S18" i="8"/>
  <c r="S20" i="8"/>
  <c r="S45" i="8"/>
  <c r="S35" i="8"/>
  <c r="S32" i="8"/>
  <c r="S49" i="8"/>
  <c r="S8" i="8"/>
  <c r="S16" i="8"/>
  <c r="S29" i="8"/>
  <c r="S5" i="8"/>
  <c r="S40" i="8"/>
  <c r="S10" i="8"/>
  <c r="S7" i="8"/>
  <c r="S15" i="8"/>
  <c r="S27" i="8"/>
  <c r="S50" i="8"/>
  <c r="S39" i="8"/>
  <c r="S37" i="8"/>
  <c r="S31" i="8"/>
  <c r="S12" i="8"/>
  <c r="S25" i="8"/>
  <c r="S9" i="8"/>
  <c r="S17" i="8"/>
  <c r="S21" i="8"/>
  <c r="S30" i="8"/>
  <c r="S13" i="8"/>
  <c r="S22" i="8"/>
  <c r="AB44" i="13"/>
  <c r="AB44" i="12"/>
  <c r="X48" i="12" s="1"/>
  <c r="AB44" i="11"/>
  <c r="AB44" i="10"/>
  <c r="V49" i="8"/>
  <c r="U49" i="23" s="1"/>
  <c r="U101" i="23" s="1"/>
  <c r="V33" i="8"/>
  <c r="U33" i="23" s="1"/>
  <c r="U85" i="23" s="1"/>
  <c r="V10" i="8"/>
  <c r="U10" i="23" s="1"/>
  <c r="U62" i="23" s="1"/>
  <c r="V38" i="8"/>
  <c r="U38" i="23" s="1"/>
  <c r="U90" i="23" s="1"/>
  <c r="V15" i="8"/>
  <c r="V25" i="8"/>
  <c r="U25" i="23" s="1"/>
  <c r="U77" i="23" s="1"/>
  <c r="P43" i="13"/>
  <c r="W6" i="13"/>
  <c r="W38" i="12"/>
  <c r="W18" i="13"/>
  <c r="W37" i="12"/>
  <c r="AB14" i="7"/>
  <c r="E35" i="5"/>
  <c r="L45" i="13"/>
  <c r="L45" i="12"/>
  <c r="L45" i="11"/>
  <c r="L45" i="10"/>
  <c r="P53" i="8"/>
  <c r="N56" i="9"/>
  <c r="N56" i="8"/>
  <c r="N56" i="7"/>
  <c r="AA5" i="13"/>
  <c r="AA43" i="13" s="1"/>
  <c r="Z43" i="13"/>
  <c r="N43" i="12"/>
  <c r="AB23" i="7"/>
  <c r="Y47" i="8"/>
  <c r="AB47" i="8" s="1"/>
  <c r="Y47" i="9"/>
  <c r="AB47" i="9" s="1"/>
  <c r="AB47" i="7"/>
  <c r="Y49" i="8"/>
  <c r="X49" i="23" s="1"/>
  <c r="X101" i="23" s="1"/>
  <c r="Y49" i="9"/>
  <c r="AB49" i="9" s="1"/>
  <c r="AB49" i="7"/>
  <c r="Y43" i="8"/>
  <c r="X43" i="23" s="1"/>
  <c r="X95" i="23" s="1"/>
  <c r="Y43" i="9"/>
  <c r="AB43" i="9" s="1"/>
  <c r="Y45" i="8"/>
  <c r="X45" i="23" s="1"/>
  <c r="X97" i="23" s="1"/>
  <c r="Y45" i="9"/>
  <c r="AB45" i="9" s="1"/>
  <c r="AB45" i="7"/>
  <c r="Y39" i="8"/>
  <c r="X39" i="23" s="1"/>
  <c r="X91" i="23" s="1"/>
  <c r="Y39" i="9"/>
  <c r="AB39" i="9" s="1"/>
  <c r="AB39" i="7"/>
  <c r="Y41" i="8"/>
  <c r="X41" i="23" s="1"/>
  <c r="X93" i="23" s="1"/>
  <c r="Y41" i="9"/>
  <c r="AB41" i="9" s="1"/>
  <c r="AB41" i="7"/>
  <c r="Y35" i="8"/>
  <c r="Y35" i="9"/>
  <c r="AB35" i="9" s="1"/>
  <c r="AB35" i="7"/>
  <c r="Y48" i="8"/>
  <c r="X48" i="23" s="1"/>
  <c r="X100" i="23" s="1"/>
  <c r="Y48" i="9"/>
  <c r="AB48" i="9" s="1"/>
  <c r="AB48" i="7"/>
  <c r="Y9" i="8"/>
  <c r="X9" i="23" s="1"/>
  <c r="X61" i="23" s="1"/>
  <c r="Y9" i="9"/>
  <c r="AB9" i="9" s="1"/>
  <c r="AB9" i="7"/>
  <c r="Y17" i="8"/>
  <c r="X17" i="23" s="1"/>
  <c r="X69" i="23" s="1"/>
  <c r="Y17" i="9"/>
  <c r="AB17" i="9" s="1"/>
  <c r="AB17" i="7"/>
  <c r="Y10" i="8"/>
  <c r="Y10" i="9"/>
  <c r="AB10" i="9" s="1"/>
  <c r="AB10" i="7"/>
  <c r="Y18" i="8"/>
  <c r="X18" i="23" s="1"/>
  <c r="X70" i="23" s="1"/>
  <c r="Y18" i="9"/>
  <c r="AB18" i="9" s="1"/>
  <c r="AB18" i="7"/>
  <c r="W7" i="12"/>
  <c r="W12" i="13"/>
  <c r="W17" i="12"/>
  <c r="W41" i="12"/>
  <c r="W8" i="12"/>
  <c r="W39" i="13"/>
  <c r="W31" i="13"/>
  <c r="W35" i="12"/>
  <c r="O53" i="8"/>
  <c r="AD5" i="8"/>
  <c r="AC53" i="8"/>
  <c r="L48" i="10"/>
  <c r="P43" i="12"/>
  <c r="W5" i="13"/>
  <c r="T43" i="13"/>
  <c r="W20" i="13"/>
  <c r="W11" i="12"/>
  <c r="W28" i="13"/>
  <c r="AB6" i="7"/>
  <c r="F10" i="5"/>
  <c r="F29" i="5" s="1"/>
  <c r="N58" i="6"/>
  <c r="E10" i="5"/>
  <c r="N57" i="6"/>
  <c r="D47" i="5"/>
  <c r="D29" i="5"/>
  <c r="B15" i="25" l="1"/>
  <c r="C14" i="25"/>
  <c r="C15" i="25"/>
  <c r="K14" i="25"/>
  <c r="K15" i="25"/>
  <c r="L15" i="26"/>
  <c r="L14" i="26"/>
  <c r="X10" i="23"/>
  <c r="X62" i="23" s="1"/>
  <c r="AI53" i="8"/>
  <c r="AE5" i="23"/>
  <c r="AE57" i="23" s="1"/>
  <c r="Q9" i="25"/>
  <c r="X35" i="23"/>
  <c r="X87" i="23" s="1"/>
  <c r="F47" i="5"/>
  <c r="Y25" i="8"/>
  <c r="H15" i="26"/>
  <c r="H14" i="26"/>
  <c r="L11" i="26"/>
  <c r="J15" i="26"/>
  <c r="J14" i="26"/>
  <c r="AD53" i="8"/>
  <c r="AB45" i="8"/>
  <c r="H9" i="25"/>
  <c r="H11" i="25"/>
  <c r="H7" i="25"/>
  <c r="H13" i="25" s="1"/>
  <c r="X21" i="23"/>
  <c r="X73" i="23" s="1"/>
  <c r="L7" i="26"/>
  <c r="L13" i="26" s="1"/>
  <c r="Q11" i="25"/>
  <c r="X47" i="23"/>
  <c r="X99" i="23" s="1"/>
  <c r="D15" i="26"/>
  <c r="D14" i="26"/>
  <c r="X8" i="23"/>
  <c r="X60" i="23" s="1"/>
  <c r="M15" i="25"/>
  <c r="AB39" i="8"/>
  <c r="AB15" i="8"/>
  <c r="U15" i="23"/>
  <c r="U67" i="23" s="1"/>
  <c r="K7" i="25" s="1"/>
  <c r="K13" i="25" s="1"/>
  <c r="AB37" i="8"/>
  <c r="U37" i="23"/>
  <c r="U89" i="23" s="1"/>
  <c r="X16" i="23"/>
  <c r="X68" i="23" s="1"/>
  <c r="E15" i="25"/>
  <c r="T15" i="25"/>
  <c r="L9" i="25"/>
  <c r="L11" i="25"/>
  <c r="L7" i="25"/>
  <c r="L13" i="25" s="1"/>
  <c r="F15" i="26"/>
  <c r="F14" i="26"/>
  <c r="V53" i="8"/>
  <c r="Y30" i="8"/>
  <c r="X30" i="23" s="1"/>
  <c r="X82" i="23" s="1"/>
  <c r="Y34" i="8"/>
  <c r="Y6" i="8"/>
  <c r="X6" i="23" s="1"/>
  <c r="X58" i="23" s="1"/>
  <c r="AB43" i="8"/>
  <c r="AB49" i="8"/>
  <c r="AB28" i="8"/>
  <c r="R53" i="8"/>
  <c r="S58" i="8" s="1"/>
  <c r="S43" i="9" s="1"/>
  <c r="S43" i="23" s="1"/>
  <c r="S95" i="23" s="1"/>
  <c r="AM56" i="6"/>
  <c r="AM54" i="9"/>
  <c r="AM54" i="7"/>
  <c r="AM54" i="8" s="1"/>
  <c r="Q45" i="13"/>
  <c r="Q45" i="12"/>
  <c r="Q45" i="11"/>
  <c r="Q45" i="10"/>
  <c r="S53" i="8"/>
  <c r="S12" i="9"/>
  <c r="S12" i="23" s="1"/>
  <c r="S64" i="23" s="1"/>
  <c r="S11" i="9"/>
  <c r="S11" i="23" s="1"/>
  <c r="S63" i="23" s="1"/>
  <c r="S22" i="9"/>
  <c r="S22" i="23" s="1"/>
  <c r="S74" i="23" s="1"/>
  <c r="S38" i="9"/>
  <c r="S38" i="23" s="1"/>
  <c r="S90" i="23" s="1"/>
  <c r="Y26" i="8"/>
  <c r="Y50" i="8"/>
  <c r="X50" i="23" s="1"/>
  <c r="X102" i="23" s="1"/>
  <c r="AB48" i="8"/>
  <c r="Y12" i="8"/>
  <c r="Y32" i="8"/>
  <c r="Y22" i="8"/>
  <c r="Y31" i="8"/>
  <c r="T58" i="6"/>
  <c r="T56" i="9"/>
  <c r="T56" i="8"/>
  <c r="T56" i="7"/>
  <c r="L15" i="11"/>
  <c r="L8" i="11"/>
  <c r="L7" i="11"/>
  <c r="L10" i="11"/>
  <c r="L6" i="11"/>
  <c r="L9" i="11"/>
  <c r="L5" i="11"/>
  <c r="L21" i="11"/>
  <c r="L37" i="11"/>
  <c r="L13" i="11"/>
  <c r="L30" i="11"/>
  <c r="L27" i="11"/>
  <c r="L24" i="11"/>
  <c r="L40" i="11"/>
  <c r="L25" i="11"/>
  <c r="L41" i="11"/>
  <c r="L18" i="11"/>
  <c r="L34" i="11"/>
  <c r="L14" i="11"/>
  <c r="L31" i="11"/>
  <c r="L11" i="11"/>
  <c r="L28" i="11"/>
  <c r="L12" i="11"/>
  <c r="L29" i="11"/>
  <c r="L22" i="11"/>
  <c r="L38" i="11"/>
  <c r="L19" i="11"/>
  <c r="L35" i="11"/>
  <c r="L16" i="11"/>
  <c r="L32" i="11"/>
  <c r="L17" i="11"/>
  <c r="L33" i="11"/>
  <c r="L26" i="11"/>
  <c r="L23" i="11"/>
  <c r="L39" i="11"/>
  <c r="L20" i="11"/>
  <c r="L36" i="11"/>
  <c r="Y53" i="9"/>
  <c r="Y40" i="8"/>
  <c r="Y38" i="8"/>
  <c r="AB23" i="8"/>
  <c r="Y20" i="8"/>
  <c r="Y11" i="8"/>
  <c r="Y24" i="8"/>
  <c r="Y33" i="8"/>
  <c r="X33" i="23" s="1"/>
  <c r="X85" i="23" s="1"/>
  <c r="AB10" i="8"/>
  <c r="AB35" i="8"/>
  <c r="W43" i="12"/>
  <c r="Y14" i="8"/>
  <c r="Y13" i="8"/>
  <c r="Y5" i="8"/>
  <c r="X5" i="23" s="1"/>
  <c r="X57" i="23" s="1"/>
  <c r="Y46" i="8"/>
  <c r="Y44" i="8"/>
  <c r="AB18" i="8"/>
  <c r="AB9" i="8"/>
  <c r="AB53" i="7"/>
  <c r="Y42" i="8"/>
  <c r="Y27" i="8"/>
  <c r="AM58" i="6"/>
  <c r="AM56" i="9"/>
  <c r="AM56" i="8"/>
  <c r="AM56" i="7"/>
  <c r="T57" i="6"/>
  <c r="T55" i="9"/>
  <c r="T55" i="8"/>
  <c r="T55" i="7"/>
  <c r="W43" i="13"/>
  <c r="AB17" i="8"/>
  <c r="AB51" i="8"/>
  <c r="F46" i="5"/>
  <c r="Q46" i="13"/>
  <c r="Q46" i="12"/>
  <c r="Q46" i="10"/>
  <c r="Q46" i="11"/>
  <c r="Y36" i="8"/>
  <c r="AB7" i="8"/>
  <c r="AB41" i="8"/>
  <c r="AB50" i="8"/>
  <c r="Y19" i="8"/>
  <c r="AB6" i="8"/>
  <c r="AB5" i="9"/>
  <c r="AB53" i="9" s="1"/>
  <c r="E42" i="5"/>
  <c r="E21" i="5"/>
  <c r="AB44" i="8" l="1"/>
  <c r="X44" i="23"/>
  <c r="X96" i="23" s="1"/>
  <c r="L18" i="24"/>
  <c r="L60" i="24" s="1"/>
  <c r="AB12" i="8"/>
  <c r="X12" i="23"/>
  <c r="X64" i="23" s="1"/>
  <c r="S25" i="9"/>
  <c r="S25" i="23" s="1"/>
  <c r="S77" i="23" s="1"/>
  <c r="S47" i="9"/>
  <c r="S47" i="23" s="1"/>
  <c r="S99" i="23" s="1"/>
  <c r="S30" i="9"/>
  <c r="S30" i="23" s="1"/>
  <c r="S82" i="23" s="1"/>
  <c r="S15" i="9"/>
  <c r="S15" i="23" s="1"/>
  <c r="S67" i="23" s="1"/>
  <c r="S10" i="9"/>
  <c r="S10" i="23" s="1"/>
  <c r="S62" i="23" s="1"/>
  <c r="L14" i="25"/>
  <c r="L15" i="25"/>
  <c r="AB19" i="8"/>
  <c r="X19" i="23"/>
  <c r="X71" i="23" s="1"/>
  <c r="AB36" i="8"/>
  <c r="X36" i="23"/>
  <c r="X88" i="23" s="1"/>
  <c r="AB33" i="8"/>
  <c r="AB46" i="8"/>
  <c r="X46" i="23"/>
  <c r="X98" i="23" s="1"/>
  <c r="AB24" i="8"/>
  <c r="X24" i="23"/>
  <c r="X76" i="23" s="1"/>
  <c r="AB38" i="8"/>
  <c r="X38" i="23"/>
  <c r="X90" i="23" s="1"/>
  <c r="AB31" i="8"/>
  <c r="X31" i="23"/>
  <c r="X83" i="23" s="1"/>
  <c r="AB30" i="8"/>
  <c r="S26" i="9"/>
  <c r="S26" i="23" s="1"/>
  <c r="S78" i="23" s="1"/>
  <c r="S48" i="9"/>
  <c r="S48" i="23" s="1"/>
  <c r="S100" i="23" s="1"/>
  <c r="S13" i="9"/>
  <c r="S13" i="23" s="1"/>
  <c r="S65" i="23" s="1"/>
  <c r="S28" i="9"/>
  <c r="S28" i="23" s="1"/>
  <c r="S80" i="23" s="1"/>
  <c r="S39" i="9"/>
  <c r="S39" i="23" s="1"/>
  <c r="S91" i="23" s="1"/>
  <c r="S23" i="9"/>
  <c r="S23" i="23" s="1"/>
  <c r="S75" i="23" s="1"/>
  <c r="S36" i="9"/>
  <c r="S36" i="23" s="1"/>
  <c r="S88" i="23" s="1"/>
  <c r="S41" i="9"/>
  <c r="S41" i="23" s="1"/>
  <c r="S93" i="23" s="1"/>
  <c r="S45" i="9"/>
  <c r="S45" i="23" s="1"/>
  <c r="S97" i="23" s="1"/>
  <c r="S8" i="9"/>
  <c r="S8" i="23" s="1"/>
  <c r="S60" i="23" s="1"/>
  <c r="S7" i="9"/>
  <c r="S7" i="23" s="1"/>
  <c r="S59" i="23" s="1"/>
  <c r="S33" i="9"/>
  <c r="S33" i="23" s="1"/>
  <c r="S85" i="23" s="1"/>
  <c r="AB34" i="8"/>
  <c r="X34" i="23"/>
  <c r="X86" i="23" s="1"/>
  <c r="AB42" i="8"/>
  <c r="X42" i="23"/>
  <c r="X94" i="23" s="1"/>
  <c r="AB14" i="8"/>
  <c r="X14" i="23"/>
  <c r="X66" i="23" s="1"/>
  <c r="L26" i="24"/>
  <c r="L68" i="24" s="1"/>
  <c r="N11" i="25"/>
  <c r="AB11" i="8"/>
  <c r="X11" i="23"/>
  <c r="X63" i="23" s="1"/>
  <c r="N9" i="25" s="1"/>
  <c r="AB40" i="8"/>
  <c r="X40" i="23"/>
  <c r="X92" i="23" s="1"/>
  <c r="AB22" i="8"/>
  <c r="X22" i="23"/>
  <c r="X74" i="23" s="1"/>
  <c r="S14" i="9"/>
  <c r="S14" i="23" s="1"/>
  <c r="S66" i="23" s="1"/>
  <c r="S46" i="9"/>
  <c r="S46" i="23" s="1"/>
  <c r="S98" i="23" s="1"/>
  <c r="S24" i="9"/>
  <c r="S24" i="23" s="1"/>
  <c r="S76" i="23" s="1"/>
  <c r="S51" i="9"/>
  <c r="S51" i="23" s="1"/>
  <c r="S103" i="23" s="1"/>
  <c r="S17" i="9"/>
  <c r="S17" i="23" s="1"/>
  <c r="S69" i="23" s="1"/>
  <c r="S44" i="9"/>
  <c r="S44" i="23" s="1"/>
  <c r="S96" i="23" s="1"/>
  <c r="S50" i="9"/>
  <c r="S50" i="23" s="1"/>
  <c r="S102" i="23" s="1"/>
  <c r="S40" i="9"/>
  <c r="S40" i="23" s="1"/>
  <c r="S92" i="23" s="1"/>
  <c r="S5" i="9"/>
  <c r="S5" i="23" s="1"/>
  <c r="S57" i="23" s="1"/>
  <c r="S49" i="9"/>
  <c r="S49" i="23" s="1"/>
  <c r="S101" i="23" s="1"/>
  <c r="S20" i="9"/>
  <c r="S20" i="23" s="1"/>
  <c r="S72" i="23" s="1"/>
  <c r="S42" i="9"/>
  <c r="S42" i="23" s="1"/>
  <c r="S94" i="23" s="1"/>
  <c r="Q14" i="25"/>
  <c r="Q15" i="25"/>
  <c r="AB26" i="8"/>
  <c r="X26" i="23"/>
  <c r="X78" i="23" s="1"/>
  <c r="S37" i="9"/>
  <c r="S37" i="23" s="1"/>
  <c r="S89" i="23" s="1"/>
  <c r="S16" i="9"/>
  <c r="S16" i="23" s="1"/>
  <c r="S68" i="23" s="1"/>
  <c r="AB27" i="8"/>
  <c r="X27" i="23"/>
  <c r="X79" i="23" s="1"/>
  <c r="AB13" i="8"/>
  <c r="X13" i="23"/>
  <c r="X65" i="23" s="1"/>
  <c r="AB20" i="8"/>
  <c r="X20" i="23"/>
  <c r="X72" i="23" s="1"/>
  <c r="N7" i="25" s="1"/>
  <c r="N13" i="25" s="1"/>
  <c r="L28" i="24"/>
  <c r="L70" i="24" s="1"/>
  <c r="L9" i="24"/>
  <c r="L51" i="24" s="1"/>
  <c r="AB32" i="8"/>
  <c r="X32" i="23"/>
  <c r="X84" i="23" s="1"/>
  <c r="S6" i="9"/>
  <c r="S6" i="23" s="1"/>
  <c r="S58" i="23" s="1"/>
  <c r="S34" i="9"/>
  <c r="S34" i="23" s="1"/>
  <c r="S86" i="23" s="1"/>
  <c r="S19" i="9"/>
  <c r="S19" i="23" s="1"/>
  <c r="S71" i="23" s="1"/>
  <c r="S21" i="9"/>
  <c r="S21" i="23" s="1"/>
  <c r="S73" i="23" s="1"/>
  <c r="S9" i="9"/>
  <c r="S9" i="23" s="1"/>
  <c r="S61" i="23" s="1"/>
  <c r="S31" i="9"/>
  <c r="S31" i="23" s="1"/>
  <c r="S83" i="23" s="1"/>
  <c r="S27" i="9"/>
  <c r="S27" i="23" s="1"/>
  <c r="S79" i="23" s="1"/>
  <c r="S32" i="9"/>
  <c r="S32" i="23" s="1"/>
  <c r="S84" i="23" s="1"/>
  <c r="S29" i="9"/>
  <c r="S29" i="23" s="1"/>
  <c r="S81" i="23" s="1"/>
  <c r="S35" i="9"/>
  <c r="S35" i="23" s="1"/>
  <c r="S87" i="23" s="1"/>
  <c r="S18" i="9"/>
  <c r="S18" i="23" s="1"/>
  <c r="S70" i="23" s="1"/>
  <c r="H14" i="25"/>
  <c r="H15" i="25"/>
  <c r="AB25" i="8"/>
  <c r="X25" i="23"/>
  <c r="X77" i="23" s="1"/>
  <c r="U9" i="25"/>
  <c r="U7" i="25"/>
  <c r="U13" i="25" s="1"/>
  <c r="U11" i="25"/>
  <c r="AB46" i="13"/>
  <c r="AB46" i="12"/>
  <c r="AB46" i="11"/>
  <c r="AB46" i="10"/>
  <c r="Y53" i="8"/>
  <c r="AB5" i="8"/>
  <c r="L23" i="12"/>
  <c r="Q23" i="12" s="1"/>
  <c r="L23" i="13"/>
  <c r="Q23" i="13" s="1"/>
  <c r="Q23" i="11"/>
  <c r="AB23" i="11" s="1"/>
  <c r="Q32" i="11"/>
  <c r="AB32" i="11" s="1"/>
  <c r="L32" i="12"/>
  <c r="Q32" i="12" s="1"/>
  <c r="L32" i="13"/>
  <c r="Q32" i="13" s="1"/>
  <c r="Q38" i="11"/>
  <c r="AB38" i="11" s="1"/>
  <c r="L38" i="12"/>
  <c r="Q38" i="12" s="1"/>
  <c r="L38" i="13"/>
  <c r="Q38" i="13" s="1"/>
  <c r="L28" i="12"/>
  <c r="Q28" i="12" s="1"/>
  <c r="L28" i="13"/>
  <c r="Q28" i="13" s="1"/>
  <c r="Q28" i="11"/>
  <c r="AB28" i="11" s="1"/>
  <c r="L34" i="12"/>
  <c r="Q34" i="12" s="1"/>
  <c r="L34" i="13"/>
  <c r="Q34" i="13" s="1"/>
  <c r="Q34" i="11"/>
  <c r="AB34" i="11" s="1"/>
  <c r="Q40" i="11"/>
  <c r="AB40" i="11" s="1"/>
  <c r="L40" i="12"/>
  <c r="Q40" i="12" s="1"/>
  <c r="L40" i="13"/>
  <c r="Q40" i="13" s="1"/>
  <c r="L13" i="12"/>
  <c r="Q13" i="12" s="1"/>
  <c r="L13" i="13"/>
  <c r="Q13" i="13" s="1"/>
  <c r="Q13" i="11"/>
  <c r="AB13" i="11" s="1"/>
  <c r="L9" i="12"/>
  <c r="Q9" i="12" s="1"/>
  <c r="L9" i="13"/>
  <c r="Q9" i="13" s="1"/>
  <c r="Q9" i="11"/>
  <c r="AB9" i="11" s="1"/>
  <c r="L8" i="12"/>
  <c r="Q8" i="12" s="1"/>
  <c r="L8" i="13"/>
  <c r="Q8" i="13" s="1"/>
  <c r="Q8" i="11"/>
  <c r="AB8" i="11" s="1"/>
  <c r="Q36" i="11"/>
  <c r="AB36" i="11" s="1"/>
  <c r="L36" i="12"/>
  <c r="Q36" i="12" s="1"/>
  <c r="L36" i="13"/>
  <c r="Q36" i="13" s="1"/>
  <c r="L26" i="12"/>
  <c r="Q26" i="12" s="1"/>
  <c r="L26" i="13"/>
  <c r="Q26" i="13" s="1"/>
  <c r="Q26" i="11"/>
  <c r="AB26" i="11" s="1"/>
  <c r="L16" i="12"/>
  <c r="Q16" i="12" s="1"/>
  <c r="L16" i="13"/>
  <c r="Q16" i="13" s="1"/>
  <c r="Q16" i="11"/>
  <c r="AB16" i="11" s="1"/>
  <c r="L22" i="12"/>
  <c r="Q22" i="12" s="1"/>
  <c r="L22" i="13"/>
  <c r="Q22" i="13" s="1"/>
  <c r="Q22" i="11"/>
  <c r="AB22" i="11" s="1"/>
  <c r="L11" i="12"/>
  <c r="Q11" i="12" s="1"/>
  <c r="L11" i="13"/>
  <c r="Q11" i="13" s="1"/>
  <c r="Q11" i="11"/>
  <c r="AB11" i="11" s="1"/>
  <c r="L18" i="12"/>
  <c r="Q18" i="12" s="1"/>
  <c r="L18" i="13"/>
  <c r="Q18" i="13" s="1"/>
  <c r="Q18" i="11"/>
  <c r="AB18" i="11" s="1"/>
  <c r="L24" i="12"/>
  <c r="Q24" i="12" s="1"/>
  <c r="L24" i="13"/>
  <c r="Q24" i="13" s="1"/>
  <c r="Q24" i="11"/>
  <c r="AB24" i="11" s="1"/>
  <c r="Q37" i="11"/>
  <c r="AB37" i="11" s="1"/>
  <c r="L37" i="12"/>
  <c r="Q37" i="12" s="1"/>
  <c r="L37" i="13"/>
  <c r="Q37" i="13" s="1"/>
  <c r="L6" i="12"/>
  <c r="Q6" i="12" s="1"/>
  <c r="L6" i="13"/>
  <c r="Q6" i="13" s="1"/>
  <c r="Q6" i="11"/>
  <c r="AB6" i="11" s="1"/>
  <c r="L15" i="12"/>
  <c r="Q15" i="12" s="1"/>
  <c r="L15" i="13"/>
  <c r="Q15" i="13" s="1"/>
  <c r="Q15" i="11"/>
  <c r="AB15" i="11" s="1"/>
  <c r="AE55" i="9"/>
  <c r="AE55" i="8"/>
  <c r="AO54" i="8" s="1"/>
  <c r="AE55" i="7"/>
  <c r="L20" i="12"/>
  <c r="Q20" i="12" s="1"/>
  <c r="L20" i="13"/>
  <c r="Q20" i="13" s="1"/>
  <c r="Q20" i="11"/>
  <c r="AB20" i="11" s="1"/>
  <c r="L33" i="12"/>
  <c r="Q33" i="12" s="1"/>
  <c r="L33" i="13"/>
  <c r="Q33" i="13" s="1"/>
  <c r="Q33" i="11"/>
  <c r="AB33" i="11" s="1"/>
  <c r="L35" i="12"/>
  <c r="Q35" i="12" s="1"/>
  <c r="L35" i="13"/>
  <c r="Q35" i="13" s="1"/>
  <c r="Q35" i="11"/>
  <c r="AB35" i="11" s="1"/>
  <c r="L29" i="12"/>
  <c r="Q29" i="12" s="1"/>
  <c r="L29" i="13"/>
  <c r="Q29" i="13" s="1"/>
  <c r="Q29" i="11"/>
  <c r="AB29" i="11" s="1"/>
  <c r="Q31" i="11"/>
  <c r="AB31" i="11" s="1"/>
  <c r="L31" i="12"/>
  <c r="Q31" i="12" s="1"/>
  <c r="L31" i="13"/>
  <c r="Q31" i="13" s="1"/>
  <c r="Q41" i="11"/>
  <c r="AB41" i="11" s="1"/>
  <c r="L41" i="12"/>
  <c r="Q41" i="12" s="1"/>
  <c r="L41" i="13"/>
  <c r="Q41" i="13" s="1"/>
  <c r="L27" i="12"/>
  <c r="Q27" i="12" s="1"/>
  <c r="L27" i="13"/>
  <c r="Q27" i="13" s="1"/>
  <c r="Q27" i="11"/>
  <c r="AB27" i="11" s="1"/>
  <c r="L21" i="12"/>
  <c r="Q21" i="12" s="1"/>
  <c r="L21" i="13"/>
  <c r="Q21" i="13" s="1"/>
  <c r="Q21" i="11"/>
  <c r="AB21" i="11" s="1"/>
  <c r="L10" i="12"/>
  <c r="Q10" i="12" s="1"/>
  <c r="L10" i="13"/>
  <c r="Q10" i="13" s="1"/>
  <c r="Q10" i="11"/>
  <c r="AB10" i="11" s="1"/>
  <c r="E43" i="5"/>
  <c r="X45" i="13"/>
  <c r="X45" i="12"/>
  <c r="X45" i="11"/>
  <c r="X48" i="11" s="1"/>
  <c r="X45" i="10"/>
  <c r="Q39" i="11"/>
  <c r="AB39" i="11" s="1"/>
  <c r="L39" i="12"/>
  <c r="Q39" i="12" s="1"/>
  <c r="L39" i="13"/>
  <c r="Q39" i="13" s="1"/>
  <c r="L17" i="12"/>
  <c r="Q17" i="12" s="1"/>
  <c r="L17" i="13"/>
  <c r="Q17" i="13" s="1"/>
  <c r="Q17" i="11"/>
  <c r="AB17" i="11" s="1"/>
  <c r="L19" i="12"/>
  <c r="Q19" i="12" s="1"/>
  <c r="L19" i="13"/>
  <c r="Q19" i="13" s="1"/>
  <c r="Q19" i="11"/>
  <c r="AB19" i="11" s="1"/>
  <c r="L12" i="12"/>
  <c r="Q12" i="12" s="1"/>
  <c r="L12" i="13"/>
  <c r="Q12" i="13" s="1"/>
  <c r="Q12" i="11"/>
  <c r="AB12" i="11" s="1"/>
  <c r="L14" i="12"/>
  <c r="Q14" i="12" s="1"/>
  <c r="L14" i="13"/>
  <c r="Q14" i="13" s="1"/>
  <c r="Q14" i="11"/>
  <c r="AB14" i="11" s="1"/>
  <c r="L25" i="12"/>
  <c r="Q25" i="12" s="1"/>
  <c r="L25" i="13"/>
  <c r="Q25" i="13" s="1"/>
  <c r="Q25" i="11"/>
  <c r="AB25" i="11" s="1"/>
  <c r="L30" i="12"/>
  <c r="Q30" i="12" s="1"/>
  <c r="L30" i="13"/>
  <c r="Q30" i="13" s="1"/>
  <c r="Q30" i="11"/>
  <c r="AB30" i="11" s="1"/>
  <c r="L5" i="12"/>
  <c r="L5" i="24" s="1"/>
  <c r="L47" i="24" s="1"/>
  <c r="L5" i="13"/>
  <c r="L43" i="11"/>
  <c r="Q5" i="11"/>
  <c r="L7" i="12"/>
  <c r="Q7" i="12" s="1"/>
  <c r="L7" i="13"/>
  <c r="Q7" i="13" s="1"/>
  <c r="Q7" i="11"/>
  <c r="AB7" i="11" s="1"/>
  <c r="E23" i="5"/>
  <c r="E47" i="5" s="1"/>
  <c r="AE57" i="6"/>
  <c r="N14" i="25" l="1"/>
  <c r="N15" i="25"/>
  <c r="L35" i="24"/>
  <c r="L77" i="24" s="1"/>
  <c r="AB53" i="8"/>
  <c r="U14" i="25"/>
  <c r="U15" i="25"/>
  <c r="L13" i="24"/>
  <c r="L55" i="24" s="1"/>
  <c r="L38" i="24"/>
  <c r="L80" i="24" s="1"/>
  <c r="L36" i="24"/>
  <c r="L78" i="24" s="1"/>
  <c r="L25" i="24"/>
  <c r="L67" i="24" s="1"/>
  <c r="L17" i="24"/>
  <c r="L59" i="24" s="1"/>
  <c r="L41" i="24"/>
  <c r="L83" i="24" s="1"/>
  <c r="L33" i="24"/>
  <c r="L75" i="24" s="1"/>
  <c r="L16" i="24"/>
  <c r="L58" i="24" s="1"/>
  <c r="L19" i="24"/>
  <c r="L61" i="24" s="1"/>
  <c r="L27" i="24"/>
  <c r="L69" i="24" s="1"/>
  <c r="L40" i="24"/>
  <c r="L82" i="24" s="1"/>
  <c r="L32" i="24"/>
  <c r="L74" i="24" s="1"/>
  <c r="L15" i="24"/>
  <c r="L57" i="24" s="1"/>
  <c r="L7" i="24"/>
  <c r="L49" i="24" s="1"/>
  <c r="L14" i="24"/>
  <c r="L56" i="24" s="1"/>
  <c r="L39" i="24"/>
  <c r="L81" i="24" s="1"/>
  <c r="L37" i="24"/>
  <c r="L79" i="24" s="1"/>
  <c r="L10" i="24"/>
  <c r="L52" i="24" s="1"/>
  <c r="L31" i="24"/>
  <c r="L73" i="24" s="1"/>
  <c r="L20" i="24"/>
  <c r="L62" i="24" s="1"/>
  <c r="L22" i="24"/>
  <c r="L64" i="24" s="1"/>
  <c r="L30" i="24"/>
  <c r="L72" i="24" s="1"/>
  <c r="S53" i="9"/>
  <c r="L8" i="24"/>
  <c r="L50" i="24" s="1"/>
  <c r="L34" i="24"/>
  <c r="L76" i="24" s="1"/>
  <c r="L23" i="24"/>
  <c r="L65" i="24" s="1"/>
  <c r="L24" i="24"/>
  <c r="L66" i="24" s="1"/>
  <c r="I9" i="25"/>
  <c r="I11" i="25"/>
  <c r="I7" i="25"/>
  <c r="I13" i="25" s="1"/>
  <c r="L12" i="24"/>
  <c r="L54" i="24" s="1"/>
  <c r="L11" i="24"/>
  <c r="L53" i="24" s="1"/>
  <c r="L21" i="24"/>
  <c r="L63" i="24" s="1"/>
  <c r="L29" i="24"/>
  <c r="L71" i="24" s="1"/>
  <c r="L6" i="24"/>
  <c r="L48" i="24" s="1"/>
  <c r="B11" i="26" s="1"/>
  <c r="AG57" i="6"/>
  <c r="AG55" i="9"/>
  <c r="AG55" i="8"/>
  <c r="AG55" i="7"/>
  <c r="AB5" i="11"/>
  <c r="Q43" i="11"/>
  <c r="X19" i="12"/>
  <c r="Y19" i="12" s="1"/>
  <c r="X19" i="13"/>
  <c r="X39" i="12"/>
  <c r="Y39" i="12" s="1"/>
  <c r="X39" i="13"/>
  <c r="X27" i="12"/>
  <c r="Y27" i="12" s="1"/>
  <c r="X27" i="13"/>
  <c r="X31" i="12"/>
  <c r="Y31" i="12" s="1"/>
  <c r="X31" i="13"/>
  <c r="X35" i="12"/>
  <c r="Y35" i="12" s="1"/>
  <c r="X35" i="13"/>
  <c r="X6" i="12"/>
  <c r="Y6" i="12" s="1"/>
  <c r="X6" i="13"/>
  <c r="X11" i="12"/>
  <c r="Y11" i="12" s="1"/>
  <c r="X11" i="13"/>
  <c r="X30" i="12"/>
  <c r="Y30" i="12" s="1"/>
  <c r="X30" i="13"/>
  <c r="X7" i="12"/>
  <c r="Y7" i="12" s="1"/>
  <c r="X7" i="13"/>
  <c r="X12" i="12"/>
  <c r="Y12" i="12" s="1"/>
  <c r="X12" i="13"/>
  <c r="E46" i="5"/>
  <c r="Y45" i="13"/>
  <c r="Y45" i="12"/>
  <c r="Y45" i="11"/>
  <c r="Y45" i="10"/>
  <c r="X21" i="12"/>
  <c r="Y21" i="12" s="1"/>
  <c r="AB21" i="12" s="1"/>
  <c r="X21" i="13"/>
  <c r="X41" i="12"/>
  <c r="Y41" i="12" s="1"/>
  <c r="AB41" i="12" s="1"/>
  <c r="X41" i="13"/>
  <c r="X29" i="12"/>
  <c r="Y29" i="12" s="1"/>
  <c r="AB29" i="12" s="1"/>
  <c r="X29" i="13"/>
  <c r="X15" i="12"/>
  <c r="Y15" i="12" s="1"/>
  <c r="X15" i="13"/>
  <c r="X37" i="12"/>
  <c r="Y37" i="12" s="1"/>
  <c r="AB37" i="12" s="1"/>
  <c r="X37" i="13"/>
  <c r="X18" i="12"/>
  <c r="Y18" i="12" s="1"/>
  <c r="X18" i="13"/>
  <c r="X26" i="12"/>
  <c r="Y26" i="12" s="1"/>
  <c r="AB26" i="12" s="1"/>
  <c r="X26" i="13"/>
  <c r="X13" i="12"/>
  <c r="Y13" i="12" s="1"/>
  <c r="X13" i="13"/>
  <c r="Q5" i="13"/>
  <c r="L43" i="13"/>
  <c r="AB30" i="12"/>
  <c r="X14" i="12"/>
  <c r="Y14" i="12" s="1"/>
  <c r="AB14" i="12" s="1"/>
  <c r="X14" i="13"/>
  <c r="AB19" i="12"/>
  <c r="X10" i="12"/>
  <c r="Y10" i="12" s="1"/>
  <c r="AB10" i="12" s="1"/>
  <c r="X10" i="13"/>
  <c r="AB27" i="12"/>
  <c r="AB35" i="12"/>
  <c r="X20" i="12"/>
  <c r="Y20" i="12" s="1"/>
  <c r="AB20" i="12" s="1"/>
  <c r="X20" i="13"/>
  <c r="AB6" i="12"/>
  <c r="X24" i="12"/>
  <c r="Y24" i="12" s="1"/>
  <c r="AB24" i="12" s="1"/>
  <c r="X24" i="13"/>
  <c r="AB11" i="12"/>
  <c r="X16" i="12"/>
  <c r="Y16" i="12" s="1"/>
  <c r="AB16" i="12" s="1"/>
  <c r="X16" i="13"/>
  <c r="X36" i="12"/>
  <c r="Y36" i="12" s="1"/>
  <c r="AB36" i="12" s="1"/>
  <c r="X36" i="13"/>
  <c r="X9" i="12"/>
  <c r="Y9" i="12" s="1"/>
  <c r="AB9" i="12" s="1"/>
  <c r="X9" i="13"/>
  <c r="X40" i="12"/>
  <c r="Y40" i="12" s="1"/>
  <c r="AB40" i="12" s="1"/>
  <c r="X40" i="13"/>
  <c r="X28" i="12"/>
  <c r="Y28" i="12" s="1"/>
  <c r="AB28" i="12" s="1"/>
  <c r="X28" i="13"/>
  <c r="X32" i="12"/>
  <c r="Y32" i="12" s="1"/>
  <c r="AB32" i="12" s="1"/>
  <c r="X32" i="13"/>
  <c r="AB7" i="12"/>
  <c r="L43" i="12"/>
  <c r="Q5" i="12"/>
  <c r="X25" i="12"/>
  <c r="Y25" i="12" s="1"/>
  <c r="AB25" i="12" s="1"/>
  <c r="X25" i="13"/>
  <c r="AB12" i="12"/>
  <c r="X17" i="12"/>
  <c r="Y17" i="12" s="1"/>
  <c r="AB17" i="12" s="1"/>
  <c r="X17" i="13"/>
  <c r="AB39" i="12"/>
  <c r="AB31" i="12"/>
  <c r="X33" i="12"/>
  <c r="Y33" i="12" s="1"/>
  <c r="AB33" i="12" s="1"/>
  <c r="X33" i="13"/>
  <c r="AB15" i="12"/>
  <c r="AB18" i="12"/>
  <c r="X22" i="12"/>
  <c r="Y22" i="12" s="1"/>
  <c r="AB22" i="12" s="1"/>
  <c r="X22" i="13"/>
  <c r="AB43" i="11"/>
  <c r="X8" i="12"/>
  <c r="Y8" i="12" s="1"/>
  <c r="AB8" i="12" s="1"/>
  <c r="X8" i="13"/>
  <c r="AB13" i="12"/>
  <c r="X34" i="12"/>
  <c r="Y34" i="12" s="1"/>
  <c r="AB34" i="12" s="1"/>
  <c r="X34" i="13"/>
  <c r="X38" i="12"/>
  <c r="Y38" i="12" s="1"/>
  <c r="AB38" i="12" s="1"/>
  <c r="X38" i="13"/>
  <c r="X23" i="12"/>
  <c r="Y23" i="12" s="1"/>
  <c r="AB23" i="12" s="1"/>
  <c r="X23" i="13"/>
  <c r="E29" i="5"/>
  <c r="B9" i="26" l="1"/>
  <c r="B7" i="26"/>
  <c r="B13" i="26" s="1"/>
  <c r="I14" i="25"/>
  <c r="I15" i="25"/>
  <c r="Y34" i="13"/>
  <c r="AB34" i="13" s="1"/>
  <c r="U34" i="24"/>
  <c r="U76" i="24" s="1"/>
  <c r="Y32" i="13"/>
  <c r="AB32" i="13" s="1"/>
  <c r="U32" i="24"/>
  <c r="U74" i="24" s="1"/>
  <c r="Y40" i="13"/>
  <c r="AB40" i="13" s="1"/>
  <c r="S32" i="28" s="1"/>
  <c r="U40" i="24"/>
  <c r="U82" i="24" s="1"/>
  <c r="Y36" i="13"/>
  <c r="AB36" i="13" s="1"/>
  <c r="S28" i="28" s="1"/>
  <c r="U36" i="24"/>
  <c r="U78" i="24" s="1"/>
  <c r="Y20" i="13"/>
  <c r="AB20" i="13" s="1"/>
  <c r="S12" i="28" s="1"/>
  <c r="U20" i="24"/>
  <c r="U62" i="24" s="1"/>
  <c r="Y14" i="13"/>
  <c r="AB14" i="13" s="1"/>
  <c r="U14" i="24"/>
  <c r="U56" i="24" s="1"/>
  <c r="Y7" i="13"/>
  <c r="AB7" i="13" s="1"/>
  <c r="S5" i="28" s="1"/>
  <c r="U7" i="24"/>
  <c r="U49" i="24" s="1"/>
  <c r="Y11" i="13"/>
  <c r="AB11" i="13" s="1"/>
  <c r="S11" i="28" s="1"/>
  <c r="U11" i="24"/>
  <c r="U53" i="24" s="1"/>
  <c r="Y35" i="13"/>
  <c r="AB35" i="13" s="1"/>
  <c r="S27" i="28" s="1"/>
  <c r="U35" i="24"/>
  <c r="U77" i="24" s="1"/>
  <c r="Y27" i="13"/>
  <c r="AB27" i="13" s="1"/>
  <c r="U27" i="24"/>
  <c r="U69" i="24" s="1"/>
  <c r="Y19" i="13"/>
  <c r="AB19" i="13" s="1"/>
  <c r="U19" i="24"/>
  <c r="U61" i="24" s="1"/>
  <c r="Y22" i="13"/>
  <c r="AB22" i="13" s="1"/>
  <c r="S14" i="28" s="1"/>
  <c r="U22" i="24"/>
  <c r="U64" i="24" s="1"/>
  <c r="Y17" i="13"/>
  <c r="AB17" i="13" s="1"/>
  <c r="U17" i="24"/>
  <c r="U59" i="24" s="1"/>
  <c r="Y38" i="13"/>
  <c r="AB38" i="13" s="1"/>
  <c r="S31" i="28" s="1"/>
  <c r="U38" i="24"/>
  <c r="U80" i="24" s="1"/>
  <c r="Y33" i="13"/>
  <c r="AB33" i="13" s="1"/>
  <c r="U33" i="24"/>
  <c r="U75" i="24" s="1"/>
  <c r="Y24" i="13"/>
  <c r="AB24" i="13" s="1"/>
  <c r="S17" i="28" s="1"/>
  <c r="U24" i="24"/>
  <c r="U66" i="24" s="1"/>
  <c r="Y10" i="13"/>
  <c r="AB10" i="13" s="1"/>
  <c r="S9" i="28" s="1"/>
  <c r="U10" i="24"/>
  <c r="U52" i="24" s="1"/>
  <c r="Y13" i="13"/>
  <c r="AB13" i="13" s="1"/>
  <c r="AA112" i="17" s="1"/>
  <c r="U13" i="24"/>
  <c r="U55" i="24" s="1"/>
  <c r="Y18" i="13"/>
  <c r="AB18" i="13" s="1"/>
  <c r="U18" i="24"/>
  <c r="U60" i="24" s="1"/>
  <c r="Y15" i="13"/>
  <c r="AB15" i="13" s="1"/>
  <c r="S8" i="28" s="1"/>
  <c r="U15" i="24"/>
  <c r="U57" i="24" s="1"/>
  <c r="Y41" i="13"/>
  <c r="AB41" i="13" s="1"/>
  <c r="S33" i="28" s="1"/>
  <c r="U41" i="24"/>
  <c r="U83" i="24" s="1"/>
  <c r="Y23" i="13"/>
  <c r="AB23" i="13" s="1"/>
  <c r="U23" i="24"/>
  <c r="U65" i="24" s="1"/>
  <c r="Y8" i="13"/>
  <c r="AB8" i="13" s="1"/>
  <c r="S6" i="28" s="1"/>
  <c r="U8" i="24"/>
  <c r="U50" i="24" s="1"/>
  <c r="Y28" i="13"/>
  <c r="AB28" i="13" s="1"/>
  <c r="S22" i="28" s="1"/>
  <c r="U28" i="24"/>
  <c r="U70" i="24" s="1"/>
  <c r="Y9" i="13"/>
  <c r="AB9" i="13" s="1"/>
  <c r="S7" i="28" s="1"/>
  <c r="U9" i="24"/>
  <c r="U51" i="24" s="1"/>
  <c r="Y16" i="13"/>
  <c r="AB16" i="13" s="1"/>
  <c r="S10" i="28" s="1"/>
  <c r="U16" i="24"/>
  <c r="U58" i="24" s="1"/>
  <c r="Y12" i="13"/>
  <c r="AB12" i="13" s="1"/>
  <c r="AA96" i="17" s="1"/>
  <c r="U12" i="24"/>
  <c r="U54" i="24" s="1"/>
  <c r="Y30" i="13"/>
  <c r="AB30" i="13" s="1"/>
  <c r="S24" i="28" s="1"/>
  <c r="U30" i="24"/>
  <c r="U72" i="24" s="1"/>
  <c r="Y6" i="13"/>
  <c r="AB6" i="13" s="1"/>
  <c r="AA197" i="16" s="1"/>
  <c r="AG197" i="16" s="1"/>
  <c r="U6" i="24"/>
  <c r="U48" i="24" s="1"/>
  <c r="Y31" i="13"/>
  <c r="AB31" i="13" s="1"/>
  <c r="U31" i="24"/>
  <c r="U73" i="24" s="1"/>
  <c r="Y39" i="13"/>
  <c r="AB39" i="13" s="1"/>
  <c r="S30" i="28" s="1"/>
  <c r="U39" i="24"/>
  <c r="U81" i="24" s="1"/>
  <c r="Y25" i="13"/>
  <c r="AB25" i="13" s="1"/>
  <c r="S18" i="28" s="1"/>
  <c r="U25" i="24"/>
  <c r="U67" i="24" s="1"/>
  <c r="Y26" i="13"/>
  <c r="AB26" i="13" s="1"/>
  <c r="S19" i="28" s="1"/>
  <c r="U26" i="24"/>
  <c r="U68" i="24" s="1"/>
  <c r="Y37" i="13"/>
  <c r="AB37" i="13" s="1"/>
  <c r="S29" i="28" s="1"/>
  <c r="U37" i="24"/>
  <c r="U79" i="24" s="1"/>
  <c r="Y29" i="13"/>
  <c r="AB29" i="13" s="1"/>
  <c r="S23" i="28" s="1"/>
  <c r="U29" i="24"/>
  <c r="U71" i="24" s="1"/>
  <c r="Y21" i="13"/>
  <c r="AB21" i="13" s="1"/>
  <c r="S13" i="28" s="1"/>
  <c r="U21" i="24"/>
  <c r="U63" i="24" s="1"/>
  <c r="AA536" i="16"/>
  <c r="AG536" i="16" s="1"/>
  <c r="AA133" i="17"/>
  <c r="AA132" i="17"/>
  <c r="AA131" i="17"/>
  <c r="AA130" i="17"/>
  <c r="AA129" i="17"/>
  <c r="AA128" i="17"/>
  <c r="AA127" i="17"/>
  <c r="AA126" i="17"/>
  <c r="AA125" i="17"/>
  <c r="AA124" i="17"/>
  <c r="AA123" i="17"/>
  <c r="AA122" i="17"/>
  <c r="AA121" i="17"/>
  <c r="AA120" i="17"/>
  <c r="AA119" i="17"/>
  <c r="AA118" i="17"/>
  <c r="AA117" i="17"/>
  <c r="AA116" i="17"/>
  <c r="AA329" i="16"/>
  <c r="AG329" i="16" s="1"/>
  <c r="AA325" i="16"/>
  <c r="AG325" i="16" s="1"/>
  <c r="AA321" i="16"/>
  <c r="AG321" i="16" s="1"/>
  <c r="AA330" i="16"/>
  <c r="AG330" i="16" s="1"/>
  <c r="AA324" i="16"/>
  <c r="AG324" i="16" s="1"/>
  <c r="AA319" i="16"/>
  <c r="AG319" i="16" s="1"/>
  <c r="AA315" i="16"/>
  <c r="AG315" i="16" s="1"/>
  <c r="AA328" i="16"/>
  <c r="AG328" i="16" s="1"/>
  <c r="AA323" i="16"/>
  <c r="AG323" i="16" s="1"/>
  <c r="AA318" i="16"/>
  <c r="AG318" i="16" s="1"/>
  <c r="AA314" i="16"/>
  <c r="AA327" i="16"/>
  <c r="AG327" i="16" s="1"/>
  <c r="AA322" i="16"/>
  <c r="AG322" i="16" s="1"/>
  <c r="AA317" i="16"/>
  <c r="AG317" i="16" s="1"/>
  <c r="AA331" i="16"/>
  <c r="AG331" i="16" s="1"/>
  <c r="AA326" i="16"/>
  <c r="AG326" i="16" s="1"/>
  <c r="AA320" i="16"/>
  <c r="AG320" i="16" s="1"/>
  <c r="AA316" i="16"/>
  <c r="AG316" i="16" s="1"/>
  <c r="AA419" i="16"/>
  <c r="AA415" i="16"/>
  <c r="AA421" i="16"/>
  <c r="AA417" i="16"/>
  <c r="AA413" i="16"/>
  <c r="AA424" i="16"/>
  <c r="AA420" i="16"/>
  <c r="AA416" i="16"/>
  <c r="AA422" i="16"/>
  <c r="AA418" i="16"/>
  <c r="AA414" i="16"/>
  <c r="AA111" i="17"/>
  <c r="AA107" i="17"/>
  <c r="AA103" i="17"/>
  <c r="AA307" i="16"/>
  <c r="AG307" i="16" s="1"/>
  <c r="AA310" i="16"/>
  <c r="AG310" i="16" s="1"/>
  <c r="AA313" i="16"/>
  <c r="AG313" i="16" s="1"/>
  <c r="AA300" i="16"/>
  <c r="AG300" i="16" s="1"/>
  <c r="AA79" i="17"/>
  <c r="AA78" i="17"/>
  <c r="AA77" i="17"/>
  <c r="AA76" i="17"/>
  <c r="AA75" i="17"/>
  <c r="AA74" i="17"/>
  <c r="AA73" i="17"/>
  <c r="AA72" i="17"/>
  <c r="AA71" i="17"/>
  <c r="AA70" i="17"/>
  <c r="AA69" i="17"/>
  <c r="AA68" i="17"/>
  <c r="AA67" i="17"/>
  <c r="AA66" i="17"/>
  <c r="AA65" i="17"/>
  <c r="AA275" i="16"/>
  <c r="AG275" i="16" s="1"/>
  <c r="AA271" i="16"/>
  <c r="AG271" i="16" s="1"/>
  <c r="AA267" i="16"/>
  <c r="AG267" i="16" s="1"/>
  <c r="AA263" i="16"/>
  <c r="AG263" i="16" s="1"/>
  <c r="AA274" i="16"/>
  <c r="AG274" i="16" s="1"/>
  <c r="AA270" i="16"/>
  <c r="AG270" i="16" s="1"/>
  <c r="AA266" i="16"/>
  <c r="AG266" i="16" s="1"/>
  <c r="AA277" i="16"/>
  <c r="AG277" i="16" s="1"/>
  <c r="AA273" i="16"/>
  <c r="AG273" i="16" s="1"/>
  <c r="AA269" i="16"/>
  <c r="AG269" i="16" s="1"/>
  <c r="AA265" i="16"/>
  <c r="AG265" i="16" s="1"/>
  <c r="AA276" i="16"/>
  <c r="AG276" i="16" s="1"/>
  <c r="AA272" i="16"/>
  <c r="AG272" i="16" s="1"/>
  <c r="AA268" i="16"/>
  <c r="AG268" i="16" s="1"/>
  <c r="AA264" i="16"/>
  <c r="AG264" i="16" s="1"/>
  <c r="AA259" i="16"/>
  <c r="AA255" i="16"/>
  <c r="AA251" i="16"/>
  <c r="AA243" i="16"/>
  <c r="AA239" i="16"/>
  <c r="AA235" i="16"/>
  <c r="AA227" i="16"/>
  <c r="AA262" i="16"/>
  <c r="AA258" i="16"/>
  <c r="AA250" i="16"/>
  <c r="AA246" i="16"/>
  <c r="AA242" i="16"/>
  <c r="AA234" i="16"/>
  <c r="AA230" i="16"/>
  <c r="AA261" i="16"/>
  <c r="AA253" i="16"/>
  <c r="AA249" i="16"/>
  <c r="AA245" i="16"/>
  <c r="AA241" i="16"/>
  <c r="AA237" i="16"/>
  <c r="AA233" i="16"/>
  <c r="AA229" i="16"/>
  <c r="AA260" i="16"/>
  <c r="AA256" i="16"/>
  <c r="AA252" i="16"/>
  <c r="AA248" i="16"/>
  <c r="AA244" i="16"/>
  <c r="AA240" i="16"/>
  <c r="AA236" i="16"/>
  <c r="AA232" i="16"/>
  <c r="AA228" i="16"/>
  <c r="AA95" i="17"/>
  <c r="AA93" i="17"/>
  <c r="AA91" i="17"/>
  <c r="AA87" i="17"/>
  <c r="AA85" i="17"/>
  <c r="AA83" i="17"/>
  <c r="AA291" i="16"/>
  <c r="AG291" i="16" s="1"/>
  <c r="AA283" i="16"/>
  <c r="AG283" i="16" s="1"/>
  <c r="AA294" i="16"/>
  <c r="AG294" i="16" s="1"/>
  <c r="AA278" i="16"/>
  <c r="AG278" i="16" s="1"/>
  <c r="AA289" i="16"/>
  <c r="AG289" i="16" s="1"/>
  <c r="AA281" i="16"/>
  <c r="AG281" i="16" s="1"/>
  <c r="AA280" i="16"/>
  <c r="AG280" i="16" s="1"/>
  <c r="AA136" i="16"/>
  <c r="AA80" i="16"/>
  <c r="AA64" i="16"/>
  <c r="AA32" i="16"/>
  <c r="AA12" i="16"/>
  <c r="AA135" i="16"/>
  <c r="AA79" i="16"/>
  <c r="AA71" i="16"/>
  <c r="AA31" i="16"/>
  <c r="AA138" i="16"/>
  <c r="AA134" i="16"/>
  <c r="AA78" i="16"/>
  <c r="AA74" i="16"/>
  <c r="AA70" i="16"/>
  <c r="AA62" i="16"/>
  <c r="AA34" i="16"/>
  <c r="AA137" i="16"/>
  <c r="AA65" i="16"/>
  <c r="AA37" i="16"/>
  <c r="AA26" i="16"/>
  <c r="AA7" i="16"/>
  <c r="AA2" i="16"/>
  <c r="AA133" i="16"/>
  <c r="AA33" i="16"/>
  <c r="AA11" i="16"/>
  <c r="AA6" i="16"/>
  <c r="AA73" i="16"/>
  <c r="AA30" i="16"/>
  <c r="AA10" i="16"/>
  <c r="AA69" i="16"/>
  <c r="AA29" i="16"/>
  <c r="AA9" i="16"/>
  <c r="AA523" i="16"/>
  <c r="AA519" i="16"/>
  <c r="AA515" i="16"/>
  <c r="AA511" i="16"/>
  <c r="AA507" i="16"/>
  <c r="AA503" i="16"/>
  <c r="AA499" i="16"/>
  <c r="AA495" i="16"/>
  <c r="AA491" i="16"/>
  <c r="AA487" i="16"/>
  <c r="AA483" i="16"/>
  <c r="AA479" i="16"/>
  <c r="AA475" i="16"/>
  <c r="AA471" i="16"/>
  <c r="AA467" i="16"/>
  <c r="AA463" i="16"/>
  <c r="AA459" i="16"/>
  <c r="AA455" i="16"/>
  <c r="AA451" i="16"/>
  <c r="AA447" i="16"/>
  <c r="AA443" i="16"/>
  <c r="AA439" i="16"/>
  <c r="AA435" i="16"/>
  <c r="AA431" i="16"/>
  <c r="AA427" i="16"/>
  <c r="AA521" i="16"/>
  <c r="AA517" i="16"/>
  <c r="AA513" i="16"/>
  <c r="AA509" i="16"/>
  <c r="AA505" i="16"/>
  <c r="AA501" i="16"/>
  <c r="AA497" i="16"/>
  <c r="AA493" i="16"/>
  <c r="AA489" i="16"/>
  <c r="AA485" i="16"/>
  <c r="AA481" i="16"/>
  <c r="AA477" i="16"/>
  <c r="AA473" i="16"/>
  <c r="AA469" i="16"/>
  <c r="AA465" i="16"/>
  <c r="AA461" i="16"/>
  <c r="AA457" i="16"/>
  <c r="AA453" i="16"/>
  <c r="AA449" i="16"/>
  <c r="AA445" i="16"/>
  <c r="AA441" i="16"/>
  <c r="AA437" i="16"/>
  <c r="AA433" i="16"/>
  <c r="AA429" i="16"/>
  <c r="AA425" i="16"/>
  <c r="AA524" i="16"/>
  <c r="AA520" i="16"/>
  <c r="AA516" i="16"/>
  <c r="AA512" i="16"/>
  <c r="AA508" i="16"/>
  <c r="AA504" i="16"/>
  <c r="AA500" i="16"/>
  <c r="AA496" i="16"/>
  <c r="AA492" i="16"/>
  <c r="AA488" i="16"/>
  <c r="AA484" i="16"/>
  <c r="AA480" i="16"/>
  <c r="AA476" i="16"/>
  <c r="AA472" i="16"/>
  <c r="AA468" i="16"/>
  <c r="AA464" i="16"/>
  <c r="AA460" i="16"/>
  <c r="AA456" i="16"/>
  <c r="AA452" i="16"/>
  <c r="AA448" i="16"/>
  <c r="AA444" i="16"/>
  <c r="AA440" i="16"/>
  <c r="AA436" i="16"/>
  <c r="AA432" i="16"/>
  <c r="AA428" i="16"/>
  <c r="AA522" i="16"/>
  <c r="AA506" i="16"/>
  <c r="AA490" i="16"/>
  <c r="AA474" i="16"/>
  <c r="AA458" i="16"/>
  <c r="AA442" i="16"/>
  <c r="AA426" i="16"/>
  <c r="AA518" i="16"/>
  <c r="AA502" i="16"/>
  <c r="AA486" i="16"/>
  <c r="AA470" i="16"/>
  <c r="AA454" i="16"/>
  <c r="AA438" i="16"/>
  <c r="AA514" i="16"/>
  <c r="AA498" i="16"/>
  <c r="AA482" i="16"/>
  <c r="AA466" i="16"/>
  <c r="AA450" i="16"/>
  <c r="AA434" i="16"/>
  <c r="AA510" i="16"/>
  <c r="AA494" i="16"/>
  <c r="AA478" i="16"/>
  <c r="AA462" i="16"/>
  <c r="AA446" i="16"/>
  <c r="AA430" i="16"/>
  <c r="AA190" i="17"/>
  <c r="AA189" i="17"/>
  <c r="AA188" i="17"/>
  <c r="AA187" i="17"/>
  <c r="AA186" i="17"/>
  <c r="AA185" i="17"/>
  <c r="AA184" i="17"/>
  <c r="AA183" i="17"/>
  <c r="AA182" i="17"/>
  <c r="AA181" i="17"/>
  <c r="AA180" i="17"/>
  <c r="AA179" i="17"/>
  <c r="AA178" i="17"/>
  <c r="AA177" i="17"/>
  <c r="AA176" i="17"/>
  <c r="AA175" i="17"/>
  <c r="AA174" i="17"/>
  <c r="AA173" i="17"/>
  <c r="AA172" i="17"/>
  <c r="AA171" i="17"/>
  <c r="AA170" i="17"/>
  <c r="AA169" i="17"/>
  <c r="AA168" i="17"/>
  <c r="AA167" i="17"/>
  <c r="AA166" i="17"/>
  <c r="AA165" i="17"/>
  <c r="AA164" i="17"/>
  <c r="AA163" i="17"/>
  <c r="AA162" i="17"/>
  <c r="AA161" i="17"/>
  <c r="AA160" i="17"/>
  <c r="AA159" i="17"/>
  <c r="AA158" i="17"/>
  <c r="AA157" i="17"/>
  <c r="AA156" i="17"/>
  <c r="AA155" i="17"/>
  <c r="AA154" i="17"/>
  <c r="AA153" i="17"/>
  <c r="AA152" i="17"/>
  <c r="AA151" i="17"/>
  <c r="AA150" i="17"/>
  <c r="AA149" i="17"/>
  <c r="AA148" i="17"/>
  <c r="AA147" i="17"/>
  <c r="AA146" i="17"/>
  <c r="AA145" i="17"/>
  <c r="AA144" i="17"/>
  <c r="AA143" i="17"/>
  <c r="AA142" i="17"/>
  <c r="AA141" i="17"/>
  <c r="AA140" i="17"/>
  <c r="AA139" i="17"/>
  <c r="AA138" i="17"/>
  <c r="AA137" i="17"/>
  <c r="AA136" i="17"/>
  <c r="AA135" i="17"/>
  <c r="AA134" i="17"/>
  <c r="AA387" i="16"/>
  <c r="AG387" i="16" s="1"/>
  <c r="AA383" i="16"/>
  <c r="AG383" i="16" s="1"/>
  <c r="AA379" i="16"/>
  <c r="AG379" i="16" s="1"/>
  <c r="AA385" i="16"/>
  <c r="AG385" i="16" s="1"/>
  <c r="AA381" i="16"/>
  <c r="AG381" i="16" s="1"/>
  <c r="AA377" i="16"/>
  <c r="AG377" i="16" s="1"/>
  <c r="AA373" i="16"/>
  <c r="AG373" i="16" s="1"/>
  <c r="AA369" i="16"/>
  <c r="AG369" i="16" s="1"/>
  <c r="AA365" i="16"/>
  <c r="AG365" i="16" s="1"/>
  <c r="AA361" i="16"/>
  <c r="AG361" i="16" s="1"/>
  <c r="AA357" i="16"/>
  <c r="AG357" i="16" s="1"/>
  <c r="AA353" i="16"/>
  <c r="AG353" i="16" s="1"/>
  <c r="AA349" i="16"/>
  <c r="AG349" i="16" s="1"/>
  <c r="AA345" i="16"/>
  <c r="AG345" i="16" s="1"/>
  <c r="AA341" i="16"/>
  <c r="AG341" i="16" s="1"/>
  <c r="AA337" i="16"/>
  <c r="AG337" i="16" s="1"/>
  <c r="AA333" i="16"/>
  <c r="AG333" i="16" s="1"/>
  <c r="AA386" i="16"/>
  <c r="AG386" i="16" s="1"/>
  <c r="AA378" i="16"/>
  <c r="AG378" i="16" s="1"/>
  <c r="AA372" i="16"/>
  <c r="AG372" i="16" s="1"/>
  <c r="AA367" i="16"/>
  <c r="AG367" i="16" s="1"/>
  <c r="AA362" i="16"/>
  <c r="AG362" i="16" s="1"/>
  <c r="AA356" i="16"/>
  <c r="AG356" i="16" s="1"/>
  <c r="AA351" i="16"/>
  <c r="AG351" i="16" s="1"/>
  <c r="AA346" i="16"/>
  <c r="AG346" i="16" s="1"/>
  <c r="AA340" i="16"/>
  <c r="AG340" i="16" s="1"/>
  <c r="AA335" i="16"/>
  <c r="AG335" i="16" s="1"/>
  <c r="AA384" i="16"/>
  <c r="AG384" i="16" s="1"/>
  <c r="AA376" i="16"/>
  <c r="AG376" i="16" s="1"/>
  <c r="AA371" i="16"/>
  <c r="AG371" i="16" s="1"/>
  <c r="AA366" i="16"/>
  <c r="AG366" i="16" s="1"/>
  <c r="AA360" i="16"/>
  <c r="AG360" i="16" s="1"/>
  <c r="AA355" i="16"/>
  <c r="AG355" i="16" s="1"/>
  <c r="AA350" i="16"/>
  <c r="AG350" i="16" s="1"/>
  <c r="AA344" i="16"/>
  <c r="AG344" i="16" s="1"/>
  <c r="AA339" i="16"/>
  <c r="AG339" i="16" s="1"/>
  <c r="AA334" i="16"/>
  <c r="AG334" i="16" s="1"/>
  <c r="AA382" i="16"/>
  <c r="AG382" i="16" s="1"/>
  <c r="AA375" i="16"/>
  <c r="AG375" i="16" s="1"/>
  <c r="AA370" i="16"/>
  <c r="AG370" i="16" s="1"/>
  <c r="AA364" i="16"/>
  <c r="AG364" i="16" s="1"/>
  <c r="AA359" i="16"/>
  <c r="AG359" i="16" s="1"/>
  <c r="AA354" i="16"/>
  <c r="AG354" i="16" s="1"/>
  <c r="AA348" i="16"/>
  <c r="AG348" i="16" s="1"/>
  <c r="AA343" i="16"/>
  <c r="AG343" i="16" s="1"/>
  <c r="AA338" i="16"/>
  <c r="AG338" i="16" s="1"/>
  <c r="AA332" i="16"/>
  <c r="AG332" i="16" s="1"/>
  <c r="AA388" i="16"/>
  <c r="AG388" i="16" s="1"/>
  <c r="AA380" i="16"/>
  <c r="AG380" i="16" s="1"/>
  <c r="AA374" i="16"/>
  <c r="AG374" i="16" s="1"/>
  <c r="AA368" i="16"/>
  <c r="AG368" i="16" s="1"/>
  <c r="AA363" i="16"/>
  <c r="AG363" i="16" s="1"/>
  <c r="AA358" i="16"/>
  <c r="AG358" i="16" s="1"/>
  <c r="AA352" i="16"/>
  <c r="AG352" i="16" s="1"/>
  <c r="AA347" i="16"/>
  <c r="AG347" i="16" s="1"/>
  <c r="AA342" i="16"/>
  <c r="AG342" i="16" s="1"/>
  <c r="AA336" i="16"/>
  <c r="AG336" i="16" s="1"/>
  <c r="AA547" i="16"/>
  <c r="AA543" i="16"/>
  <c r="AA539" i="16"/>
  <c r="AA545" i="16"/>
  <c r="AA541" i="16"/>
  <c r="AA537" i="16"/>
  <c r="AA548" i="16"/>
  <c r="AA544" i="16"/>
  <c r="AA540" i="16"/>
  <c r="AA538" i="16"/>
  <c r="AA546" i="16"/>
  <c r="AA542" i="16"/>
  <c r="AA411" i="16"/>
  <c r="AA407" i="16"/>
  <c r="AA403" i="16"/>
  <c r="AA409" i="16"/>
  <c r="AA405" i="16"/>
  <c r="AA401" i="16"/>
  <c r="AA412" i="16"/>
  <c r="AA408" i="16"/>
  <c r="AA404" i="16"/>
  <c r="AA410" i="16"/>
  <c r="AA406" i="16"/>
  <c r="AA402" i="16"/>
  <c r="AB45" i="13"/>
  <c r="AB45" i="12"/>
  <c r="AB45" i="11"/>
  <c r="AB45" i="10"/>
  <c r="AM57" i="6"/>
  <c r="AM55" i="9"/>
  <c r="AM55" i="8"/>
  <c r="AM55" i="7"/>
  <c r="Q43" i="12"/>
  <c r="Q43" i="13"/>
  <c r="X5" i="12"/>
  <c r="X5" i="13"/>
  <c r="U5" i="24" s="1"/>
  <c r="U47" i="24" s="1"/>
  <c r="AA3" i="16" l="1"/>
  <c r="AA5" i="16"/>
  <c r="AA129" i="16"/>
  <c r="AA77" i="16"/>
  <c r="AA13" i="16"/>
  <c r="AA81" i="16"/>
  <c r="AA66" i="16"/>
  <c r="AA130" i="16"/>
  <c r="AA63" i="16"/>
  <c r="AA4" i="16"/>
  <c r="AA72" i="16"/>
  <c r="AA288" i="16"/>
  <c r="AG288" i="16" s="1"/>
  <c r="AA286" i="16"/>
  <c r="AG286" i="16" s="1"/>
  <c r="AA81" i="17"/>
  <c r="AA89" i="17"/>
  <c r="AA257" i="16"/>
  <c r="AA238" i="16"/>
  <c r="AA254" i="16"/>
  <c r="AA231" i="16"/>
  <c r="AA247" i="16"/>
  <c r="AA64" i="17"/>
  <c r="AA297" i="16"/>
  <c r="AG297" i="16" s="1"/>
  <c r="AA99" i="17"/>
  <c r="AA115" i="17"/>
  <c r="AA423" i="16"/>
  <c r="AA82" i="16"/>
  <c r="AA27" i="16"/>
  <c r="AA67" i="16"/>
  <c r="AA131" i="16"/>
  <c r="AA8" i="16"/>
  <c r="AA36" i="16"/>
  <c r="AA76" i="16"/>
  <c r="AA140" i="16"/>
  <c r="AA292" i="16"/>
  <c r="AG292" i="16" s="1"/>
  <c r="AA293" i="16"/>
  <c r="AG293" i="16" s="1"/>
  <c r="AA290" i="16"/>
  <c r="AG290" i="16" s="1"/>
  <c r="AA287" i="16"/>
  <c r="AG287" i="16" s="1"/>
  <c r="AA82" i="17"/>
  <c r="AA86" i="17"/>
  <c r="AA90" i="17"/>
  <c r="AA94" i="17"/>
  <c r="AA396" i="16"/>
  <c r="AA308" i="16"/>
  <c r="AG308" i="16" s="1"/>
  <c r="AA302" i="16"/>
  <c r="AG302" i="16" s="1"/>
  <c r="AA97" i="17"/>
  <c r="AA105" i="17"/>
  <c r="AA113" i="17"/>
  <c r="S21" i="28"/>
  <c r="S26" i="28"/>
  <c r="S16" i="28"/>
  <c r="S25" i="28"/>
  <c r="S15" i="28"/>
  <c r="S20" i="28"/>
  <c r="AA35" i="16"/>
  <c r="AA75" i="16"/>
  <c r="AA139" i="16"/>
  <c r="AA28" i="16"/>
  <c r="AA68" i="16"/>
  <c r="AA132" i="16"/>
  <c r="AA284" i="16"/>
  <c r="AG284" i="16" s="1"/>
  <c r="AA285" i="16"/>
  <c r="AG285" i="16" s="1"/>
  <c r="AA282" i="16"/>
  <c r="AG282" i="16" s="1"/>
  <c r="AA279" i="16"/>
  <c r="AG279" i="16" s="1"/>
  <c r="AA80" i="17"/>
  <c r="AA84" i="17"/>
  <c r="AA88" i="17"/>
  <c r="AA92" i="17"/>
  <c r="AA305" i="16"/>
  <c r="AG305" i="16" s="1"/>
  <c r="AA299" i="16"/>
  <c r="AG299" i="16" s="1"/>
  <c r="AA101" i="17"/>
  <c r="AA109" i="17"/>
  <c r="G11" i="28"/>
  <c r="G6" i="28"/>
  <c r="AA11" i="17"/>
  <c r="AA525" i="16"/>
  <c r="AG525" i="16" s="1"/>
  <c r="AA399" i="16"/>
  <c r="AA169" i="16"/>
  <c r="AG169" i="16" s="1"/>
  <c r="AA393" i="16"/>
  <c r="AA296" i="16"/>
  <c r="AG296" i="16" s="1"/>
  <c r="AA312" i="16"/>
  <c r="AG312" i="16" s="1"/>
  <c r="AA309" i="16"/>
  <c r="AG309" i="16" s="1"/>
  <c r="AA306" i="16"/>
  <c r="AG306" i="16" s="1"/>
  <c r="AA303" i="16"/>
  <c r="AG303" i="16" s="1"/>
  <c r="AA98" i="17"/>
  <c r="AA102" i="17"/>
  <c r="AA106" i="17"/>
  <c r="AA110" i="17"/>
  <c r="AA114" i="17"/>
  <c r="AA174" i="16"/>
  <c r="AG174" i="16" s="1"/>
  <c r="AA198" i="17"/>
  <c r="AA527" i="16"/>
  <c r="AG527" i="16" s="1"/>
  <c r="AA304" i="16"/>
  <c r="AG304" i="16" s="1"/>
  <c r="AA301" i="16"/>
  <c r="AG301" i="16" s="1"/>
  <c r="AA298" i="16"/>
  <c r="AG298" i="16" s="1"/>
  <c r="AA295" i="16"/>
  <c r="AG295" i="16" s="1"/>
  <c r="AA311" i="16"/>
  <c r="AG311" i="16" s="1"/>
  <c r="AA100" i="17"/>
  <c r="AA104" i="17"/>
  <c r="AA108" i="17"/>
  <c r="AA175" i="16"/>
  <c r="AG175" i="16" s="1"/>
  <c r="AA12" i="17"/>
  <c r="AA194" i="17"/>
  <c r="AA390" i="16"/>
  <c r="AA2" i="17"/>
  <c r="AA168" i="16"/>
  <c r="AG168" i="16" s="1"/>
  <c r="AA193" i="17"/>
  <c r="AA197" i="17"/>
  <c r="B15" i="26"/>
  <c r="B14" i="26"/>
  <c r="AA392" i="16"/>
  <c r="AA391" i="16"/>
  <c r="AA34" i="17"/>
  <c r="AA39" i="17"/>
  <c r="AA167" i="16"/>
  <c r="AG167" i="16" s="1"/>
  <c r="AA40" i="17"/>
  <c r="AA530" i="16"/>
  <c r="AG530" i="16" s="1"/>
  <c r="AA526" i="16"/>
  <c r="AG526" i="16" s="1"/>
  <c r="AA398" i="16"/>
  <c r="AA400" i="16"/>
  <c r="AA9" i="17"/>
  <c r="AA3" i="17"/>
  <c r="AA13" i="17"/>
  <c r="AA201" i="16"/>
  <c r="AG201" i="16" s="1"/>
  <c r="AA394" i="16"/>
  <c r="AA397" i="16"/>
  <c r="AA176" i="16"/>
  <c r="AG176" i="16" s="1"/>
  <c r="AA200" i="16"/>
  <c r="AG200" i="16" s="1"/>
  <c r="AA166" i="16"/>
  <c r="AG166" i="16" s="1"/>
  <c r="AA6" i="17"/>
  <c r="AA4" i="17"/>
  <c r="AA205" i="16"/>
  <c r="AG205" i="16" s="1"/>
  <c r="AA528" i="16"/>
  <c r="AG528" i="16" s="1"/>
  <c r="AA201" i="17"/>
  <c r="AA535" i="16"/>
  <c r="AG535" i="16" s="1"/>
  <c r="K9" i="26"/>
  <c r="K11" i="26"/>
  <c r="M11" i="26" s="1"/>
  <c r="K7" i="26"/>
  <c r="AA5" i="17"/>
  <c r="AA204" i="16"/>
  <c r="AG204" i="16" s="1"/>
  <c r="AA38" i="17"/>
  <c r="AA203" i="16"/>
  <c r="AG203" i="16" s="1"/>
  <c r="AA35" i="17"/>
  <c r="AA170" i="16"/>
  <c r="AG170" i="16" s="1"/>
  <c r="AA37" i="17"/>
  <c r="AA42" i="17"/>
  <c r="AA199" i="16"/>
  <c r="AG199" i="16" s="1"/>
  <c r="AA8" i="17"/>
  <c r="AA165" i="16"/>
  <c r="AG165" i="16" s="1"/>
  <c r="AA191" i="17"/>
  <c r="AA200" i="17"/>
  <c r="AA532" i="16"/>
  <c r="AG532" i="16" s="1"/>
  <c r="AA195" i="17"/>
  <c r="AA202" i="17"/>
  <c r="AA533" i="16"/>
  <c r="AG533" i="16" s="1"/>
  <c r="AA389" i="16"/>
  <c r="AA395" i="16"/>
  <c r="AA41" i="17"/>
  <c r="AA10" i="17"/>
  <c r="AA198" i="16"/>
  <c r="AG198" i="16" s="1"/>
  <c r="AA7" i="17"/>
  <c r="AA43" i="17"/>
  <c r="AA206" i="16"/>
  <c r="AG206" i="16" s="1"/>
  <c r="AA172" i="16"/>
  <c r="AG172" i="16" s="1"/>
  <c r="AA171" i="16"/>
  <c r="AG171" i="16" s="1"/>
  <c r="AA202" i="16"/>
  <c r="AG202" i="16" s="1"/>
  <c r="AA36" i="17"/>
  <c r="AA173" i="16"/>
  <c r="AG173" i="16" s="1"/>
  <c r="AA196" i="17"/>
  <c r="AA529" i="16"/>
  <c r="AG529" i="16" s="1"/>
  <c r="AA192" i="17"/>
  <c r="AA199" i="17"/>
  <c r="AA534" i="16"/>
  <c r="AG534" i="16" s="1"/>
  <c r="AA531" i="16"/>
  <c r="AG531" i="16" s="1"/>
  <c r="AG402" i="16"/>
  <c r="L402" i="21"/>
  <c r="O402" i="21" s="1"/>
  <c r="AG408" i="16"/>
  <c r="L408" i="21"/>
  <c r="O408" i="21" s="1"/>
  <c r="AG409" i="16"/>
  <c r="L409" i="21"/>
  <c r="O409" i="21" s="1"/>
  <c r="AG542" i="16"/>
  <c r="L542" i="21"/>
  <c r="O542" i="21" s="1"/>
  <c r="AG544" i="16"/>
  <c r="L544" i="21"/>
  <c r="O544" i="21" s="1"/>
  <c r="AG545" i="16"/>
  <c r="L545" i="21"/>
  <c r="O545" i="21" s="1"/>
  <c r="AG462" i="16"/>
  <c r="L462" i="21"/>
  <c r="O462" i="21" s="1"/>
  <c r="AG482" i="16"/>
  <c r="L482" i="21"/>
  <c r="O482" i="21" s="1"/>
  <c r="AG438" i="16"/>
  <c r="L438" i="21"/>
  <c r="O438" i="21" s="1"/>
  <c r="AG502" i="16"/>
  <c r="L502" i="21"/>
  <c r="O502" i="21" s="1"/>
  <c r="AG442" i="16"/>
  <c r="L442" i="21"/>
  <c r="O442" i="21" s="1"/>
  <c r="AG506" i="16"/>
  <c r="L506" i="21"/>
  <c r="O506" i="21" s="1"/>
  <c r="AG436" i="16"/>
  <c r="L436" i="21"/>
  <c r="O436" i="21" s="1"/>
  <c r="AG452" i="16"/>
  <c r="L452" i="21"/>
  <c r="O452" i="21" s="1"/>
  <c r="AG468" i="16"/>
  <c r="L468" i="21"/>
  <c r="O468" i="21" s="1"/>
  <c r="AG484" i="16"/>
  <c r="L484" i="21"/>
  <c r="O484" i="21" s="1"/>
  <c r="AG500" i="16"/>
  <c r="L500" i="21"/>
  <c r="O500" i="21" s="1"/>
  <c r="AG516" i="16"/>
  <c r="L516" i="21"/>
  <c r="O516" i="21" s="1"/>
  <c r="AG433" i="16"/>
  <c r="L433" i="21"/>
  <c r="O433" i="21" s="1"/>
  <c r="AG449" i="16"/>
  <c r="L449" i="21"/>
  <c r="O449" i="21" s="1"/>
  <c r="AG465" i="16"/>
  <c r="L465" i="21"/>
  <c r="O465" i="21" s="1"/>
  <c r="AG481" i="16"/>
  <c r="L481" i="21"/>
  <c r="O481" i="21" s="1"/>
  <c r="AG497" i="16"/>
  <c r="L497" i="21"/>
  <c r="O497" i="21" s="1"/>
  <c r="AG513" i="16"/>
  <c r="L513" i="21"/>
  <c r="O513" i="21" s="1"/>
  <c r="AG435" i="16"/>
  <c r="L435" i="21"/>
  <c r="O435" i="21" s="1"/>
  <c r="AG451" i="16"/>
  <c r="L451" i="21"/>
  <c r="O451" i="21" s="1"/>
  <c r="AG467" i="16"/>
  <c r="L467" i="21"/>
  <c r="O467" i="21" s="1"/>
  <c r="AG483" i="16"/>
  <c r="L483" i="21"/>
  <c r="O483" i="21" s="1"/>
  <c r="AG499" i="16"/>
  <c r="L499" i="21"/>
  <c r="O499" i="21" s="1"/>
  <c r="AG515" i="16"/>
  <c r="L515" i="21"/>
  <c r="O515" i="21" s="1"/>
  <c r="AG29" i="16"/>
  <c r="L29" i="21"/>
  <c r="O29" i="21" s="1"/>
  <c r="AG30" i="16"/>
  <c r="L30" i="21"/>
  <c r="O30" i="21" s="1"/>
  <c r="AG11" i="16"/>
  <c r="L11" i="21"/>
  <c r="O11" i="21" s="1"/>
  <c r="AG2" i="16"/>
  <c r="L2" i="21"/>
  <c r="AG37" i="16"/>
  <c r="L37" i="21"/>
  <c r="O37" i="21" s="1"/>
  <c r="AG34" i="16"/>
  <c r="L34" i="21"/>
  <c r="O34" i="21" s="1"/>
  <c r="AG74" i="16"/>
  <c r="L74" i="21"/>
  <c r="O74" i="21" s="1"/>
  <c r="AG134" i="16"/>
  <c r="L134" i="21"/>
  <c r="O134" i="21" s="1"/>
  <c r="AG27" i="16"/>
  <c r="L27" i="21"/>
  <c r="O27" i="21" s="1"/>
  <c r="AG67" i="16"/>
  <c r="L67" i="21"/>
  <c r="O67" i="21" s="1"/>
  <c r="AG131" i="16"/>
  <c r="L131" i="21"/>
  <c r="O131" i="21" s="1"/>
  <c r="AG4" i="16"/>
  <c r="L4" i="21"/>
  <c r="O4" i="21" s="1"/>
  <c r="AG32" i="16"/>
  <c r="L32" i="21"/>
  <c r="O32" i="21" s="1"/>
  <c r="AG72" i="16"/>
  <c r="L72" i="21"/>
  <c r="O72" i="21" s="1"/>
  <c r="AG136" i="16"/>
  <c r="L136" i="21"/>
  <c r="O136" i="21" s="1"/>
  <c r="AG232" i="16"/>
  <c r="L232" i="21"/>
  <c r="O232" i="21" s="1"/>
  <c r="AG248" i="16"/>
  <c r="L248" i="21"/>
  <c r="O248" i="21" s="1"/>
  <c r="AG229" i="16"/>
  <c r="L229" i="21"/>
  <c r="O229" i="21" s="1"/>
  <c r="AG245" i="16"/>
  <c r="L245" i="21"/>
  <c r="O245" i="21" s="1"/>
  <c r="AG261" i="16"/>
  <c r="L261" i="21"/>
  <c r="O261" i="21" s="1"/>
  <c r="AG242" i="16"/>
  <c r="L242" i="21"/>
  <c r="O242" i="21" s="1"/>
  <c r="AG258" i="16"/>
  <c r="L258" i="21"/>
  <c r="O258" i="21" s="1"/>
  <c r="AG235" i="16"/>
  <c r="L235" i="21"/>
  <c r="O235" i="21" s="1"/>
  <c r="AG251" i="16"/>
  <c r="L251" i="21"/>
  <c r="O251" i="21" s="1"/>
  <c r="AG398" i="16"/>
  <c r="L398" i="21"/>
  <c r="O398" i="21" s="1"/>
  <c r="AG396" i="16"/>
  <c r="L396" i="21"/>
  <c r="O396" i="21" s="1"/>
  <c r="AG397" i="16"/>
  <c r="L397" i="21"/>
  <c r="O397" i="21" s="1"/>
  <c r="AG414" i="16"/>
  <c r="L414" i="21"/>
  <c r="O414" i="21" s="1"/>
  <c r="AG420" i="16"/>
  <c r="L420" i="21"/>
  <c r="O420" i="21" s="1"/>
  <c r="AG421" i="16"/>
  <c r="L421" i="21"/>
  <c r="O421" i="21" s="1"/>
  <c r="AG406" i="16"/>
  <c r="L406" i="21"/>
  <c r="O406" i="21" s="1"/>
  <c r="AG412" i="16"/>
  <c r="L412" i="21"/>
  <c r="O412" i="21" s="1"/>
  <c r="AG403" i="16"/>
  <c r="L403" i="21"/>
  <c r="O403" i="21" s="1"/>
  <c r="AG546" i="16"/>
  <c r="L546" i="21"/>
  <c r="O546" i="21" s="1"/>
  <c r="AG548" i="16"/>
  <c r="L548" i="21"/>
  <c r="O548" i="21" s="1"/>
  <c r="AG539" i="16"/>
  <c r="L539" i="21"/>
  <c r="O539" i="21" s="1"/>
  <c r="AG478" i="16"/>
  <c r="L478" i="21"/>
  <c r="O478" i="21" s="1"/>
  <c r="AG434" i="16"/>
  <c r="L434" i="21"/>
  <c r="O434" i="21" s="1"/>
  <c r="AG498" i="16"/>
  <c r="L498" i="21"/>
  <c r="O498" i="21" s="1"/>
  <c r="AG454" i="16"/>
  <c r="L454" i="21"/>
  <c r="O454" i="21" s="1"/>
  <c r="AG518" i="16"/>
  <c r="L518" i="21"/>
  <c r="O518" i="21" s="1"/>
  <c r="AG458" i="16"/>
  <c r="L458" i="21"/>
  <c r="O458" i="21" s="1"/>
  <c r="AG522" i="16"/>
  <c r="L522" i="21"/>
  <c r="O522" i="21" s="1"/>
  <c r="AG440" i="16"/>
  <c r="L440" i="21"/>
  <c r="O440" i="21" s="1"/>
  <c r="AG456" i="16"/>
  <c r="L456" i="21"/>
  <c r="O456" i="21" s="1"/>
  <c r="AG472" i="16"/>
  <c r="L472" i="21"/>
  <c r="O472" i="21" s="1"/>
  <c r="AG488" i="16"/>
  <c r="L488" i="21"/>
  <c r="O488" i="21" s="1"/>
  <c r="AG504" i="16"/>
  <c r="L504" i="21"/>
  <c r="O504" i="21" s="1"/>
  <c r="AG520" i="16"/>
  <c r="L520" i="21"/>
  <c r="O520" i="21" s="1"/>
  <c r="AG437" i="16"/>
  <c r="L437" i="21"/>
  <c r="O437" i="21" s="1"/>
  <c r="AG453" i="16"/>
  <c r="L453" i="21"/>
  <c r="O453" i="21" s="1"/>
  <c r="AG469" i="16"/>
  <c r="L469" i="21"/>
  <c r="O469" i="21" s="1"/>
  <c r="AG485" i="16"/>
  <c r="L485" i="21"/>
  <c r="O485" i="21" s="1"/>
  <c r="AG501" i="16"/>
  <c r="L501" i="21"/>
  <c r="O501" i="21" s="1"/>
  <c r="AG517" i="16"/>
  <c r="L517" i="21"/>
  <c r="O517" i="21" s="1"/>
  <c r="AG439" i="16"/>
  <c r="L439" i="21"/>
  <c r="O439" i="21" s="1"/>
  <c r="AG455" i="16"/>
  <c r="L455" i="21"/>
  <c r="O455" i="21" s="1"/>
  <c r="AG471" i="16"/>
  <c r="L471" i="21"/>
  <c r="O471" i="21" s="1"/>
  <c r="AG487" i="16"/>
  <c r="L487" i="21"/>
  <c r="O487" i="21" s="1"/>
  <c r="AG503" i="16"/>
  <c r="L503" i="21"/>
  <c r="O503" i="21" s="1"/>
  <c r="AG519" i="16"/>
  <c r="L519" i="21"/>
  <c r="O519" i="21" s="1"/>
  <c r="AG69" i="16"/>
  <c r="L69" i="21"/>
  <c r="O69" i="21" s="1"/>
  <c r="AG73" i="16"/>
  <c r="L73" i="21"/>
  <c r="O73" i="21" s="1"/>
  <c r="AG33" i="16"/>
  <c r="L33" i="21"/>
  <c r="O33" i="21" s="1"/>
  <c r="AG7" i="16"/>
  <c r="L7" i="21"/>
  <c r="O7" i="21" s="1"/>
  <c r="AG65" i="16"/>
  <c r="L65" i="21"/>
  <c r="O65" i="21" s="1"/>
  <c r="AG62" i="16"/>
  <c r="L62" i="21"/>
  <c r="O62" i="21" s="1"/>
  <c r="AG78" i="16"/>
  <c r="L78" i="21"/>
  <c r="O78" i="21" s="1"/>
  <c r="AG138" i="16"/>
  <c r="L138" i="21"/>
  <c r="O138" i="21" s="1"/>
  <c r="AG31" i="16"/>
  <c r="L31" i="21"/>
  <c r="O31" i="21" s="1"/>
  <c r="AG71" i="16"/>
  <c r="L71" i="21"/>
  <c r="O71" i="21" s="1"/>
  <c r="AG135" i="16"/>
  <c r="L135" i="21"/>
  <c r="O135" i="21" s="1"/>
  <c r="AG8" i="16"/>
  <c r="L8" i="21"/>
  <c r="O8" i="21" s="1"/>
  <c r="AG36" i="16"/>
  <c r="L36" i="21"/>
  <c r="O36" i="21" s="1"/>
  <c r="AG76" i="16"/>
  <c r="L76" i="21"/>
  <c r="O76" i="21" s="1"/>
  <c r="AG140" i="16"/>
  <c r="L205" i="21"/>
  <c r="L201" i="21"/>
  <c r="O201" i="21" s="1"/>
  <c r="L197" i="21"/>
  <c r="O197" i="21" s="1"/>
  <c r="L173" i="21"/>
  <c r="O173" i="21" s="1"/>
  <c r="L169" i="21"/>
  <c r="O169" i="21" s="1"/>
  <c r="L165" i="21"/>
  <c r="O165" i="21" s="1"/>
  <c r="L203" i="21"/>
  <c r="O203" i="21" s="1"/>
  <c r="L199" i="21"/>
  <c r="O199" i="21" s="1"/>
  <c r="L175" i="21"/>
  <c r="O175" i="21" s="1"/>
  <c r="L171" i="21"/>
  <c r="O171" i="21" s="1"/>
  <c r="L167" i="21"/>
  <c r="O167" i="21" s="1"/>
  <c r="L176" i="21"/>
  <c r="O176" i="21" s="1"/>
  <c r="L174" i="21"/>
  <c r="O174" i="21" s="1"/>
  <c r="L172" i="21"/>
  <c r="O172" i="21" s="1"/>
  <c r="L170" i="21"/>
  <c r="L168" i="21"/>
  <c r="O168" i="21" s="1"/>
  <c r="L166" i="21"/>
  <c r="O166" i="21" s="1"/>
  <c r="L204" i="21"/>
  <c r="O204" i="21" s="1"/>
  <c r="L206" i="21"/>
  <c r="L198" i="21"/>
  <c r="O198" i="21" s="1"/>
  <c r="L200" i="21"/>
  <c r="L202" i="21"/>
  <c r="O202" i="21" s="1"/>
  <c r="L140" i="21"/>
  <c r="O140" i="21" s="1"/>
  <c r="AG236" i="16"/>
  <c r="L236" i="21"/>
  <c r="O236" i="21" s="1"/>
  <c r="AG252" i="16"/>
  <c r="L252" i="21"/>
  <c r="O252" i="21" s="1"/>
  <c r="AG233" i="16"/>
  <c r="L233" i="21"/>
  <c r="O233" i="21" s="1"/>
  <c r="AG249" i="16"/>
  <c r="L249" i="21"/>
  <c r="O249" i="21" s="1"/>
  <c r="AG230" i="16"/>
  <c r="L230" i="21"/>
  <c r="O230" i="21" s="1"/>
  <c r="AG246" i="16"/>
  <c r="L246" i="21"/>
  <c r="O246" i="21" s="1"/>
  <c r="AG262" i="16"/>
  <c r="L262" i="21"/>
  <c r="O262" i="21" s="1"/>
  <c r="AG239" i="16"/>
  <c r="L239" i="21"/>
  <c r="O239" i="21" s="1"/>
  <c r="AG255" i="16"/>
  <c r="L255" i="21"/>
  <c r="O255" i="21" s="1"/>
  <c r="AG390" i="16"/>
  <c r="L390" i="21"/>
  <c r="O390" i="21" s="1"/>
  <c r="AG400" i="16"/>
  <c r="L400" i="21"/>
  <c r="O400" i="21" s="1"/>
  <c r="AG391" i="16"/>
  <c r="L391" i="21"/>
  <c r="O391" i="21" s="1"/>
  <c r="AG418" i="16"/>
  <c r="L418" i="21"/>
  <c r="O418" i="21" s="1"/>
  <c r="AG424" i="16"/>
  <c r="L424" i="21"/>
  <c r="O424" i="21" s="1"/>
  <c r="AG415" i="16"/>
  <c r="L415" i="21"/>
  <c r="O415" i="21" s="1"/>
  <c r="AG401" i="16"/>
  <c r="L401" i="21"/>
  <c r="O401" i="21" s="1"/>
  <c r="AG538" i="16"/>
  <c r="L538" i="21"/>
  <c r="O538" i="21" s="1"/>
  <c r="AG543" i="16"/>
  <c r="L543" i="21"/>
  <c r="O543" i="21" s="1"/>
  <c r="AP4" i="16"/>
  <c r="AQ4" i="16" s="1"/>
  <c r="AC10" i="21"/>
  <c r="AG430" i="16"/>
  <c r="L430" i="21"/>
  <c r="O430" i="21" s="1"/>
  <c r="AG494" i="16"/>
  <c r="L494" i="21"/>
  <c r="O494" i="21" s="1"/>
  <c r="AG450" i="16"/>
  <c r="L450" i="21"/>
  <c r="O450" i="21" s="1"/>
  <c r="AG514" i="16"/>
  <c r="L514" i="21"/>
  <c r="O514" i="21" s="1"/>
  <c r="AG470" i="16"/>
  <c r="L470" i="21"/>
  <c r="O470" i="21" s="1"/>
  <c r="AG474" i="16"/>
  <c r="L474" i="21"/>
  <c r="O474" i="21" s="1"/>
  <c r="AG428" i="16"/>
  <c r="L428" i="21"/>
  <c r="O428" i="21" s="1"/>
  <c r="AG444" i="16"/>
  <c r="L444" i="21"/>
  <c r="O444" i="21" s="1"/>
  <c r="AG460" i="16"/>
  <c r="L460" i="21"/>
  <c r="O460" i="21" s="1"/>
  <c r="AG476" i="16"/>
  <c r="L476" i="21"/>
  <c r="O476" i="21" s="1"/>
  <c r="AG492" i="16"/>
  <c r="L492" i="21"/>
  <c r="O492" i="21" s="1"/>
  <c r="AG508" i="16"/>
  <c r="L508" i="21"/>
  <c r="O508" i="21" s="1"/>
  <c r="AG524" i="16"/>
  <c r="L535" i="21"/>
  <c r="O535" i="21" s="1"/>
  <c r="L531" i="21"/>
  <c r="O531" i="21" s="1"/>
  <c r="L527" i="21"/>
  <c r="O527" i="21" s="1"/>
  <c r="L533" i="21"/>
  <c r="O533" i="21" s="1"/>
  <c r="L529" i="21"/>
  <c r="O529" i="21" s="1"/>
  <c r="L525" i="21"/>
  <c r="O525" i="21" s="1"/>
  <c r="L536" i="21"/>
  <c r="O536" i="21" s="1"/>
  <c r="L534" i="21"/>
  <c r="O534" i="21" s="1"/>
  <c r="L532" i="21"/>
  <c r="L530" i="21"/>
  <c r="O530" i="21" s="1"/>
  <c r="L528" i="21"/>
  <c r="O528" i="21" s="1"/>
  <c r="L526" i="21"/>
  <c r="O526" i="21" s="1"/>
  <c r="L524" i="21"/>
  <c r="O524" i="21" s="1"/>
  <c r="AG425" i="16"/>
  <c r="L425" i="21"/>
  <c r="O425" i="21" s="1"/>
  <c r="AG441" i="16"/>
  <c r="L441" i="21"/>
  <c r="O441" i="21" s="1"/>
  <c r="AG457" i="16"/>
  <c r="L457" i="21"/>
  <c r="O457" i="21" s="1"/>
  <c r="AG473" i="16"/>
  <c r="L473" i="21"/>
  <c r="O473" i="21" s="1"/>
  <c r="AG489" i="16"/>
  <c r="L489" i="21"/>
  <c r="O489" i="21" s="1"/>
  <c r="AG505" i="16"/>
  <c r="L505" i="21"/>
  <c r="O505" i="21" s="1"/>
  <c r="AG521" i="16"/>
  <c r="L521" i="21"/>
  <c r="O521" i="21" s="1"/>
  <c r="AG427" i="16"/>
  <c r="L427" i="21"/>
  <c r="O427" i="21" s="1"/>
  <c r="AG443" i="16"/>
  <c r="L443" i="21"/>
  <c r="O443" i="21" s="1"/>
  <c r="AG459" i="16"/>
  <c r="L459" i="21"/>
  <c r="O459" i="21" s="1"/>
  <c r="AG475" i="16"/>
  <c r="L475" i="21"/>
  <c r="O475" i="21" s="1"/>
  <c r="AG491" i="16"/>
  <c r="L491" i="21"/>
  <c r="O491" i="21" s="1"/>
  <c r="AG507" i="16"/>
  <c r="L507" i="21"/>
  <c r="O507" i="21" s="1"/>
  <c r="AG523" i="16"/>
  <c r="L523" i="21"/>
  <c r="O523" i="21" s="1"/>
  <c r="AG3" i="16"/>
  <c r="L3" i="21"/>
  <c r="O3" i="21" s="1"/>
  <c r="AG5" i="16"/>
  <c r="L5" i="21"/>
  <c r="O5" i="21" s="1"/>
  <c r="AG129" i="16"/>
  <c r="L129" i="21"/>
  <c r="O129" i="21" s="1"/>
  <c r="AG77" i="16"/>
  <c r="L77" i="21"/>
  <c r="O77" i="21" s="1"/>
  <c r="AG13" i="16"/>
  <c r="L13" i="21"/>
  <c r="O13" i="21" s="1"/>
  <c r="AG81" i="16"/>
  <c r="L81" i="21"/>
  <c r="O81" i="21" s="1"/>
  <c r="AG66" i="16"/>
  <c r="L66" i="21"/>
  <c r="O66" i="21" s="1"/>
  <c r="AG82" i="16"/>
  <c r="L82" i="21"/>
  <c r="O82" i="21" s="1"/>
  <c r="AG35" i="16"/>
  <c r="L35" i="21"/>
  <c r="O35" i="21" s="1"/>
  <c r="AG75" i="16"/>
  <c r="L75" i="21"/>
  <c r="O75" i="21" s="1"/>
  <c r="AG139" i="16"/>
  <c r="L139" i="21"/>
  <c r="O139" i="21" s="1"/>
  <c r="AG12" i="16"/>
  <c r="L12" i="21"/>
  <c r="O12" i="21" s="1"/>
  <c r="AG64" i="16"/>
  <c r="L64" i="21"/>
  <c r="O64" i="21" s="1"/>
  <c r="AG80" i="16"/>
  <c r="L80" i="21"/>
  <c r="O80" i="21" s="1"/>
  <c r="AG240" i="16"/>
  <c r="L240" i="21"/>
  <c r="O240" i="21" s="1"/>
  <c r="AG256" i="16"/>
  <c r="L256" i="21"/>
  <c r="O256" i="21" s="1"/>
  <c r="AG237" i="16"/>
  <c r="L237" i="21"/>
  <c r="O237" i="21" s="1"/>
  <c r="AG253" i="16"/>
  <c r="L253" i="21"/>
  <c r="O253" i="21" s="1"/>
  <c r="AG234" i="16"/>
  <c r="L234" i="21"/>
  <c r="O234" i="21" s="1"/>
  <c r="AG250" i="16"/>
  <c r="L250" i="21"/>
  <c r="O250" i="21" s="1"/>
  <c r="AG227" i="16"/>
  <c r="L388" i="21"/>
  <c r="O388" i="21" s="1"/>
  <c r="L386" i="21"/>
  <c r="O386" i="21" s="1"/>
  <c r="L384" i="21"/>
  <c r="O384" i="21" s="1"/>
  <c r="L382" i="21"/>
  <c r="O382" i="21" s="1"/>
  <c r="L380" i="21"/>
  <c r="O380" i="21" s="1"/>
  <c r="L378" i="21"/>
  <c r="O378" i="21" s="1"/>
  <c r="L376" i="21"/>
  <c r="O376" i="21" s="1"/>
  <c r="L374" i="21"/>
  <c r="O374" i="21" s="1"/>
  <c r="L372" i="21"/>
  <c r="O372" i="21" s="1"/>
  <c r="L370" i="21"/>
  <c r="O370" i="21" s="1"/>
  <c r="L368" i="21"/>
  <c r="O368" i="21" s="1"/>
  <c r="L366" i="21"/>
  <c r="O366" i="21" s="1"/>
  <c r="L387" i="21"/>
  <c r="O387" i="21" s="1"/>
  <c r="L385" i="21"/>
  <c r="O385" i="21" s="1"/>
  <c r="L383" i="21"/>
  <c r="O383" i="21" s="1"/>
  <c r="L381" i="21"/>
  <c r="O381" i="21" s="1"/>
  <c r="L379" i="21"/>
  <c r="O379" i="21" s="1"/>
  <c r="L377" i="21"/>
  <c r="O377" i="21" s="1"/>
  <c r="L375" i="21"/>
  <c r="O375" i="21" s="1"/>
  <c r="L373" i="21"/>
  <c r="O373" i="21" s="1"/>
  <c r="L371" i="21"/>
  <c r="O371" i="21" s="1"/>
  <c r="L369" i="21"/>
  <c r="O369" i="21" s="1"/>
  <c r="L367" i="21"/>
  <c r="O367" i="21" s="1"/>
  <c r="L365" i="21"/>
  <c r="O365" i="21" s="1"/>
  <c r="L363" i="21"/>
  <c r="O363" i="21" s="1"/>
  <c r="L361" i="21"/>
  <c r="O361" i="21" s="1"/>
  <c r="L359" i="21"/>
  <c r="O359" i="21" s="1"/>
  <c r="L357" i="21"/>
  <c r="O357" i="21" s="1"/>
  <c r="L355" i="21"/>
  <c r="O355" i="21" s="1"/>
  <c r="L353" i="21"/>
  <c r="O353" i="21" s="1"/>
  <c r="L351" i="21"/>
  <c r="O351" i="21" s="1"/>
  <c r="L349" i="21"/>
  <c r="O349" i="21" s="1"/>
  <c r="L347" i="21"/>
  <c r="O347" i="21" s="1"/>
  <c r="L345" i="21"/>
  <c r="O345" i="21" s="1"/>
  <c r="L343" i="21"/>
  <c r="O343" i="21" s="1"/>
  <c r="L341" i="21"/>
  <c r="O341" i="21" s="1"/>
  <c r="L339" i="21"/>
  <c r="O339" i="21" s="1"/>
  <c r="L337" i="21"/>
  <c r="O337" i="21" s="1"/>
  <c r="L335" i="21"/>
  <c r="O335" i="21" s="1"/>
  <c r="L333" i="21"/>
  <c r="O333" i="21" s="1"/>
  <c r="L358" i="21"/>
  <c r="O358" i="21" s="1"/>
  <c r="L350" i="21"/>
  <c r="O350" i="21" s="1"/>
  <c r="L342" i="21"/>
  <c r="O342" i="21" s="1"/>
  <c r="L334" i="21"/>
  <c r="O334" i="21" s="1"/>
  <c r="L227" i="21"/>
  <c r="L364" i="21"/>
  <c r="O364" i="21" s="1"/>
  <c r="L356" i="21"/>
  <c r="O356" i="21" s="1"/>
  <c r="L348" i="21"/>
  <c r="O348" i="21" s="1"/>
  <c r="L340" i="21"/>
  <c r="O340" i="21" s="1"/>
  <c r="L332" i="21"/>
  <c r="L362" i="21"/>
  <c r="O362" i="21" s="1"/>
  <c r="L354" i="21"/>
  <c r="O354" i="21" s="1"/>
  <c r="L346" i="21"/>
  <c r="O346" i="21" s="1"/>
  <c r="L338" i="21"/>
  <c r="O338" i="21" s="1"/>
  <c r="L360" i="21"/>
  <c r="O360" i="21" s="1"/>
  <c r="L352" i="21"/>
  <c r="O352" i="21" s="1"/>
  <c r="L344" i="21"/>
  <c r="O344" i="21" s="1"/>
  <c r="L336" i="21"/>
  <c r="O336" i="21" s="1"/>
  <c r="AG243" i="16"/>
  <c r="L243" i="21"/>
  <c r="O243" i="21" s="1"/>
  <c r="AG259" i="16"/>
  <c r="L259" i="21"/>
  <c r="O259" i="21" s="1"/>
  <c r="AG392" i="16"/>
  <c r="L392" i="21"/>
  <c r="O392" i="21" s="1"/>
  <c r="AG389" i="16"/>
  <c r="L389" i="21"/>
  <c r="AG395" i="16"/>
  <c r="L395" i="21"/>
  <c r="O395" i="21" s="1"/>
  <c r="AG422" i="16"/>
  <c r="L422" i="21"/>
  <c r="O422" i="21" s="1"/>
  <c r="AG413" i="16"/>
  <c r="L413" i="21"/>
  <c r="O413" i="21" s="1"/>
  <c r="AG419" i="16"/>
  <c r="L419" i="21"/>
  <c r="O419" i="21" s="1"/>
  <c r="AG410" i="16"/>
  <c r="L410" i="21"/>
  <c r="O410" i="21" s="1"/>
  <c r="AG407" i="16"/>
  <c r="L407" i="21"/>
  <c r="O407" i="21" s="1"/>
  <c r="AG537" i="16"/>
  <c r="L537" i="21"/>
  <c r="AG404" i="16"/>
  <c r="L404" i="21"/>
  <c r="O404" i="21" s="1"/>
  <c r="AG405" i="16"/>
  <c r="L405" i="21"/>
  <c r="O405" i="21" s="1"/>
  <c r="AG411" i="16"/>
  <c r="L411" i="21"/>
  <c r="O411" i="21" s="1"/>
  <c r="AG540" i="16"/>
  <c r="L540" i="21"/>
  <c r="O540" i="21" s="1"/>
  <c r="AG541" i="16"/>
  <c r="L541" i="21"/>
  <c r="O541" i="21" s="1"/>
  <c r="AG547" i="16"/>
  <c r="L547" i="21"/>
  <c r="O547" i="21" s="1"/>
  <c r="AG446" i="16"/>
  <c r="L446" i="21"/>
  <c r="O446" i="21" s="1"/>
  <c r="AG510" i="16"/>
  <c r="L510" i="21"/>
  <c r="O510" i="21" s="1"/>
  <c r="AG466" i="16"/>
  <c r="L466" i="21"/>
  <c r="O466" i="21" s="1"/>
  <c r="AG486" i="16"/>
  <c r="L486" i="21"/>
  <c r="O486" i="21" s="1"/>
  <c r="AG426" i="16"/>
  <c r="L426" i="21"/>
  <c r="O426" i="21" s="1"/>
  <c r="AG490" i="16"/>
  <c r="L490" i="21"/>
  <c r="O490" i="21" s="1"/>
  <c r="AG432" i="16"/>
  <c r="L432" i="21"/>
  <c r="O432" i="21" s="1"/>
  <c r="AG448" i="16"/>
  <c r="L448" i="21"/>
  <c r="O448" i="21" s="1"/>
  <c r="AG464" i="16"/>
  <c r="L464" i="21"/>
  <c r="O464" i="21" s="1"/>
  <c r="AG480" i="16"/>
  <c r="L480" i="21"/>
  <c r="O480" i="21" s="1"/>
  <c r="AG496" i="16"/>
  <c r="L496" i="21"/>
  <c r="O496" i="21" s="1"/>
  <c r="AG512" i="16"/>
  <c r="L512" i="21"/>
  <c r="O512" i="21" s="1"/>
  <c r="AG429" i="16"/>
  <c r="L429" i="21"/>
  <c r="O429" i="21" s="1"/>
  <c r="AG445" i="16"/>
  <c r="L445" i="21"/>
  <c r="O445" i="21" s="1"/>
  <c r="AG461" i="16"/>
  <c r="L461" i="21"/>
  <c r="O461" i="21" s="1"/>
  <c r="AG477" i="16"/>
  <c r="L477" i="21"/>
  <c r="O477" i="21" s="1"/>
  <c r="AG493" i="16"/>
  <c r="L493" i="21"/>
  <c r="O493" i="21" s="1"/>
  <c r="AG509" i="16"/>
  <c r="L509" i="21"/>
  <c r="O509" i="21" s="1"/>
  <c r="AG431" i="16"/>
  <c r="L431" i="21"/>
  <c r="O431" i="21" s="1"/>
  <c r="AG447" i="16"/>
  <c r="L447" i="21"/>
  <c r="O447" i="21" s="1"/>
  <c r="AG463" i="16"/>
  <c r="L463" i="21"/>
  <c r="O463" i="21" s="1"/>
  <c r="AG479" i="16"/>
  <c r="L479" i="21"/>
  <c r="O479" i="21" s="1"/>
  <c r="AG495" i="16"/>
  <c r="L495" i="21"/>
  <c r="O495" i="21" s="1"/>
  <c r="AG511" i="16"/>
  <c r="L511" i="21"/>
  <c r="O511" i="21" s="1"/>
  <c r="AG9" i="16"/>
  <c r="L9" i="21"/>
  <c r="O9" i="21" s="1"/>
  <c r="AG10" i="16"/>
  <c r="L10" i="21"/>
  <c r="O10" i="21" s="1"/>
  <c r="AG6" i="16"/>
  <c r="L6" i="21"/>
  <c r="O6" i="21" s="1"/>
  <c r="AG133" i="16"/>
  <c r="L133" i="21"/>
  <c r="O133" i="21" s="1"/>
  <c r="AG26" i="16"/>
  <c r="L26" i="21"/>
  <c r="O26" i="21" s="1"/>
  <c r="AG137" i="16"/>
  <c r="L137" i="21"/>
  <c r="O137" i="21" s="1"/>
  <c r="AG70" i="16"/>
  <c r="L70" i="21"/>
  <c r="O70" i="21" s="1"/>
  <c r="AG130" i="16"/>
  <c r="L130" i="21"/>
  <c r="O130" i="21" s="1"/>
  <c r="AG63" i="16"/>
  <c r="L63" i="21"/>
  <c r="O63" i="21" s="1"/>
  <c r="AG79" i="16"/>
  <c r="L79" i="21"/>
  <c r="O79" i="21" s="1"/>
  <c r="AG28" i="16"/>
  <c r="L28" i="21"/>
  <c r="O28" i="21" s="1"/>
  <c r="AG68" i="16"/>
  <c r="L68" i="21"/>
  <c r="O68" i="21" s="1"/>
  <c r="AG132" i="16"/>
  <c r="L132" i="21"/>
  <c r="O132" i="21" s="1"/>
  <c r="AG228" i="16"/>
  <c r="L228" i="21"/>
  <c r="O228" i="21" s="1"/>
  <c r="AG244" i="16"/>
  <c r="L244" i="21"/>
  <c r="O244" i="21" s="1"/>
  <c r="AG260" i="16"/>
  <c r="L260" i="21"/>
  <c r="O260" i="21" s="1"/>
  <c r="AG241" i="16"/>
  <c r="L241" i="21"/>
  <c r="O241" i="21" s="1"/>
  <c r="AG257" i="16"/>
  <c r="L257" i="21"/>
  <c r="O257" i="21" s="1"/>
  <c r="AG238" i="16"/>
  <c r="L238" i="21"/>
  <c r="O238" i="21" s="1"/>
  <c r="AG254" i="16"/>
  <c r="L254" i="21"/>
  <c r="O254" i="21" s="1"/>
  <c r="AG231" i="16"/>
  <c r="L231" i="21"/>
  <c r="O231" i="21" s="1"/>
  <c r="AG247" i="16"/>
  <c r="L247" i="21"/>
  <c r="O247" i="21" s="1"/>
  <c r="AG394" i="16"/>
  <c r="L394" i="21"/>
  <c r="O394" i="21" s="1"/>
  <c r="AG393" i="16"/>
  <c r="L393" i="21"/>
  <c r="O393" i="21" s="1"/>
  <c r="AG399" i="16"/>
  <c r="L399" i="21"/>
  <c r="O399" i="21" s="1"/>
  <c r="AG416" i="16"/>
  <c r="L416" i="21"/>
  <c r="O416" i="21" s="1"/>
  <c r="AG417" i="16"/>
  <c r="L417" i="21"/>
  <c r="O417" i="21" s="1"/>
  <c r="AG423" i="16"/>
  <c r="L423" i="21"/>
  <c r="O423" i="21" s="1"/>
  <c r="AG314" i="16"/>
  <c r="L331" i="21"/>
  <c r="O331" i="21" s="1"/>
  <c r="L327" i="21"/>
  <c r="O327" i="21" s="1"/>
  <c r="L323" i="21"/>
  <c r="O323" i="21" s="1"/>
  <c r="L317" i="21"/>
  <c r="O317" i="21" s="1"/>
  <c r="L314" i="21"/>
  <c r="O314" i="21" s="1"/>
  <c r="L309" i="21"/>
  <c r="O309" i="21" s="1"/>
  <c r="L306" i="21"/>
  <c r="O306" i="21" s="1"/>
  <c r="L301" i="21"/>
  <c r="O301" i="21" s="1"/>
  <c r="L298" i="21"/>
  <c r="O298" i="21" s="1"/>
  <c r="L293" i="21"/>
  <c r="O293" i="21" s="1"/>
  <c r="L330" i="21"/>
  <c r="O330" i="21" s="1"/>
  <c r="L326" i="21"/>
  <c r="O326" i="21" s="1"/>
  <c r="L322" i="21"/>
  <c r="O322" i="21" s="1"/>
  <c r="L319" i="21"/>
  <c r="O319" i="21" s="1"/>
  <c r="L316" i="21"/>
  <c r="O316" i="21" s="1"/>
  <c r="L311" i="21"/>
  <c r="O311" i="21" s="1"/>
  <c r="L308" i="21"/>
  <c r="O308" i="21" s="1"/>
  <c r="L303" i="21"/>
  <c r="O303" i="21" s="1"/>
  <c r="L300" i="21"/>
  <c r="O300" i="21" s="1"/>
  <c r="L295" i="21"/>
  <c r="O295" i="21" s="1"/>
  <c r="L292" i="21"/>
  <c r="O292" i="21" s="1"/>
  <c r="L290" i="21"/>
  <c r="O290" i="21" s="1"/>
  <c r="L288" i="21"/>
  <c r="O288" i="21" s="1"/>
  <c r="L286" i="21"/>
  <c r="O286" i="21" s="1"/>
  <c r="L284" i="21"/>
  <c r="O284" i="21" s="1"/>
  <c r="L282" i="21"/>
  <c r="O282" i="21" s="1"/>
  <c r="L280" i="21"/>
  <c r="O280" i="21" s="1"/>
  <c r="L278" i="21"/>
  <c r="O278" i="21" s="1"/>
  <c r="L276" i="21"/>
  <c r="O276" i="21" s="1"/>
  <c r="L274" i="21"/>
  <c r="O274" i="21" s="1"/>
  <c r="L272" i="21"/>
  <c r="O272" i="21" s="1"/>
  <c r="L270" i="21"/>
  <c r="O270" i="21" s="1"/>
  <c r="L268" i="21"/>
  <c r="O268" i="21" s="1"/>
  <c r="L266" i="21"/>
  <c r="O266" i="21" s="1"/>
  <c r="L264" i="21"/>
  <c r="O264" i="21" s="1"/>
  <c r="L329" i="21"/>
  <c r="O329" i="21" s="1"/>
  <c r="L321" i="21"/>
  <c r="O321" i="21" s="1"/>
  <c r="L310" i="21"/>
  <c r="O310" i="21" s="1"/>
  <c r="L305" i="21"/>
  <c r="O305" i="21" s="1"/>
  <c r="L294" i="21"/>
  <c r="O294" i="21" s="1"/>
  <c r="L328" i="21"/>
  <c r="O328" i="21" s="1"/>
  <c r="L320" i="21"/>
  <c r="O320" i="21" s="1"/>
  <c r="L315" i="21"/>
  <c r="O315" i="21" s="1"/>
  <c r="L304" i="21"/>
  <c r="O304" i="21" s="1"/>
  <c r="L299" i="21"/>
  <c r="O299" i="21" s="1"/>
  <c r="L289" i="21"/>
  <c r="O289" i="21" s="1"/>
  <c r="L285" i="21"/>
  <c r="O285" i="21" s="1"/>
  <c r="L281" i="21"/>
  <c r="O281" i="21" s="1"/>
  <c r="L277" i="21"/>
  <c r="O277" i="21" s="1"/>
  <c r="L273" i="21"/>
  <c r="O273" i="21" s="1"/>
  <c r="L269" i="21"/>
  <c r="O269" i="21" s="1"/>
  <c r="L265" i="21"/>
  <c r="O265" i="21" s="1"/>
  <c r="L325" i="21"/>
  <c r="O325" i="21" s="1"/>
  <c r="L318" i="21"/>
  <c r="O318" i="21" s="1"/>
  <c r="L313" i="21"/>
  <c r="O313" i="21" s="1"/>
  <c r="L302" i="21"/>
  <c r="O302" i="21" s="1"/>
  <c r="L297" i="21"/>
  <c r="O297" i="21" s="1"/>
  <c r="L324" i="21"/>
  <c r="O324" i="21" s="1"/>
  <c r="L312" i="21"/>
  <c r="O312" i="21" s="1"/>
  <c r="L307" i="21"/>
  <c r="O307" i="21" s="1"/>
  <c r="L296" i="21"/>
  <c r="O296" i="21" s="1"/>
  <c r="L291" i="21"/>
  <c r="O291" i="21" s="1"/>
  <c r="L287" i="21"/>
  <c r="O287" i="21" s="1"/>
  <c r="L283" i="21"/>
  <c r="O283" i="21" s="1"/>
  <c r="L279" i="21"/>
  <c r="O279" i="21" s="1"/>
  <c r="L275" i="21"/>
  <c r="O275" i="21" s="1"/>
  <c r="L271" i="21"/>
  <c r="O271" i="21" s="1"/>
  <c r="L267" i="21"/>
  <c r="O267" i="21" s="1"/>
  <c r="L263" i="21"/>
  <c r="O263" i="21" s="1"/>
  <c r="X43" i="13"/>
  <c r="Y5" i="13"/>
  <c r="Y5" i="12"/>
  <c r="X43" i="12"/>
  <c r="AP5" i="16" l="1"/>
  <c r="AQ5" i="16" s="1"/>
  <c r="O200" i="21"/>
  <c r="O205" i="21"/>
  <c r="AP3" i="16"/>
  <c r="AQ3" i="16" s="1"/>
  <c r="O532" i="21"/>
  <c r="O206" i="21"/>
  <c r="O170" i="21"/>
  <c r="M7" i="26"/>
  <c r="M13" i="26" s="1"/>
  <c r="K13" i="26"/>
  <c r="M9" i="26"/>
  <c r="K15" i="26"/>
  <c r="K14" i="26"/>
  <c r="AC11" i="21"/>
  <c r="T9" i="21"/>
  <c r="O227" i="21"/>
  <c r="W9" i="21" s="1"/>
  <c r="O2" i="21"/>
  <c r="T12" i="21"/>
  <c r="O537" i="21"/>
  <c r="W12" i="21" s="1"/>
  <c r="AC9" i="21"/>
  <c r="AP6" i="16"/>
  <c r="AQ6" i="16" s="1"/>
  <c r="AC12" i="21"/>
  <c r="T11" i="21"/>
  <c r="O389" i="21"/>
  <c r="T10" i="21"/>
  <c r="O332" i="21"/>
  <c r="W10" i="21" s="1"/>
  <c r="Y43" i="12"/>
  <c r="AB5" i="12"/>
  <c r="AB43" i="12" s="1"/>
  <c r="Y43" i="13"/>
  <c r="AB5" i="13"/>
  <c r="G10" i="28" l="1"/>
  <c r="G5" i="28"/>
  <c r="W11" i="21"/>
  <c r="Z11" i="21" s="1"/>
  <c r="AH11" i="21" s="1"/>
  <c r="M15" i="26"/>
  <c r="M14" i="26"/>
  <c r="AP8" i="16"/>
  <c r="Z10" i="21"/>
  <c r="AH10" i="21" s="1"/>
  <c r="Z12" i="21"/>
  <c r="AH12" i="21" s="1"/>
  <c r="Z9" i="21"/>
  <c r="AH9" i="21" s="1"/>
  <c r="AA225" i="16"/>
  <c r="AG225" i="16" s="1"/>
  <c r="AA221" i="16"/>
  <c r="AA217" i="16"/>
  <c r="AG217" i="16" s="1"/>
  <c r="AA189" i="16"/>
  <c r="AG189" i="16" s="1"/>
  <c r="AA60" i="17"/>
  <c r="AA56" i="17"/>
  <c r="AA32" i="17"/>
  <c r="AA28" i="17"/>
  <c r="AA219" i="16"/>
  <c r="AG219" i="16" s="1"/>
  <c r="AA196" i="16"/>
  <c r="AG196" i="16" s="1"/>
  <c r="AA193" i="16"/>
  <c r="AG193" i="16" s="1"/>
  <c r="AA192" i="16"/>
  <c r="AG192" i="16" s="1"/>
  <c r="AA58" i="17"/>
  <c r="AA30" i="17"/>
  <c r="AA26" i="17"/>
  <c r="AA224" i="16"/>
  <c r="AG224" i="16" s="1"/>
  <c r="AA220" i="16"/>
  <c r="AG220" i="16" s="1"/>
  <c r="AA57" i="17"/>
  <c r="AA29" i="17"/>
  <c r="AA226" i="16"/>
  <c r="AG226" i="16" s="1"/>
  <c r="AA222" i="16"/>
  <c r="AG222" i="16" s="1"/>
  <c r="AA218" i="16"/>
  <c r="AG218" i="16" s="1"/>
  <c r="AA190" i="16"/>
  <c r="AG190" i="16" s="1"/>
  <c r="AA63" i="17"/>
  <c r="AA59" i="17"/>
  <c r="AA55" i="17"/>
  <c r="AA31" i="17"/>
  <c r="AA27" i="17"/>
  <c r="AA223" i="16"/>
  <c r="AG223" i="16" s="1"/>
  <c r="AA195" i="16"/>
  <c r="AG195" i="16" s="1"/>
  <c r="AA194" i="16"/>
  <c r="AG194" i="16" s="1"/>
  <c r="AA191" i="16"/>
  <c r="AG191" i="16" s="1"/>
  <c r="AA62" i="17"/>
  <c r="AA54" i="17"/>
  <c r="AA61" i="17"/>
  <c r="AA33" i="17"/>
  <c r="AB43" i="13"/>
  <c r="AA161" i="16"/>
  <c r="AA164" i="16"/>
  <c r="AA160" i="16"/>
  <c r="AA156" i="16"/>
  <c r="AA128" i="16"/>
  <c r="AA124" i="16"/>
  <c r="AA120" i="16"/>
  <c r="AA116" i="16"/>
  <c r="AA112" i="16"/>
  <c r="AA108" i="16"/>
  <c r="AA60" i="16"/>
  <c r="AA56" i="16"/>
  <c r="AA52" i="16"/>
  <c r="AA24" i="16"/>
  <c r="AA20" i="16"/>
  <c r="AA16" i="16"/>
  <c r="AG221" i="16"/>
  <c r="AA163" i="16"/>
  <c r="AA159" i="16"/>
  <c r="AA155" i="16"/>
  <c r="AA127" i="16"/>
  <c r="AA123" i="16"/>
  <c r="AA119" i="16"/>
  <c r="AA115" i="16"/>
  <c r="AA111" i="16"/>
  <c r="AA107" i="16"/>
  <c r="AA59" i="16"/>
  <c r="AA55" i="16"/>
  <c r="AA51" i="16"/>
  <c r="AA23" i="16"/>
  <c r="AA19" i="16"/>
  <c r="AA162" i="16"/>
  <c r="AA158" i="16"/>
  <c r="AA154" i="16"/>
  <c r="AA126" i="16"/>
  <c r="AA122" i="16"/>
  <c r="AA118" i="16"/>
  <c r="AA114" i="16"/>
  <c r="AA110" i="16"/>
  <c r="AA58" i="16"/>
  <c r="AA54" i="16"/>
  <c r="AA50" i="16"/>
  <c r="AA121" i="16"/>
  <c r="AA18" i="16"/>
  <c r="AA117" i="16"/>
  <c r="AA61" i="16"/>
  <c r="AA25" i="16"/>
  <c r="AA17" i="16"/>
  <c r="AA157" i="16"/>
  <c r="AA113" i="16"/>
  <c r="AA57" i="16"/>
  <c r="AA22" i="16"/>
  <c r="AA15" i="16"/>
  <c r="AA153" i="16"/>
  <c r="AA125" i="16"/>
  <c r="AA109" i="16"/>
  <c r="AA53" i="16"/>
  <c r="AA21" i="16"/>
  <c r="AA14" i="16"/>
  <c r="AQ8" i="16"/>
  <c r="AG21" i="16" l="1"/>
  <c r="L21" i="21"/>
  <c r="O21" i="21" s="1"/>
  <c r="AG153" i="16"/>
  <c r="L153" i="21"/>
  <c r="O153" i="21" s="1"/>
  <c r="AG113" i="16"/>
  <c r="L113" i="21"/>
  <c r="O113" i="21" s="1"/>
  <c r="AG61" i="16"/>
  <c r="L61" i="21"/>
  <c r="O61" i="21" s="1"/>
  <c r="AG50" i="16"/>
  <c r="L50" i="21"/>
  <c r="O50" i="21" s="1"/>
  <c r="AG114" i="16"/>
  <c r="L114" i="21"/>
  <c r="O114" i="21" s="1"/>
  <c r="AG154" i="16"/>
  <c r="L154" i="21"/>
  <c r="O154" i="21" s="1"/>
  <c r="AG51" i="16"/>
  <c r="L51" i="21"/>
  <c r="O51" i="21" s="1"/>
  <c r="AG111" i="16"/>
  <c r="L111" i="21"/>
  <c r="O111" i="21" s="1"/>
  <c r="AG127" i="16"/>
  <c r="L127" i="21"/>
  <c r="O127" i="21" s="1"/>
  <c r="AG16" i="16"/>
  <c r="L16" i="21"/>
  <c r="O16" i="21" s="1"/>
  <c r="AG56" i="16"/>
  <c r="L56" i="21"/>
  <c r="O56" i="21" s="1"/>
  <c r="AG116" i="16"/>
  <c r="L116" i="21"/>
  <c r="O116" i="21" s="1"/>
  <c r="AG156" i="16"/>
  <c r="L156" i="21"/>
  <c r="O156" i="21" s="1"/>
  <c r="AG125" i="16"/>
  <c r="L125" i="21"/>
  <c r="O125" i="21" s="1"/>
  <c r="AG25" i="16"/>
  <c r="L25" i="21"/>
  <c r="O25" i="21" s="1"/>
  <c r="AG110" i="16"/>
  <c r="L110" i="21"/>
  <c r="O110" i="21" s="1"/>
  <c r="AG107" i="16"/>
  <c r="L107" i="21"/>
  <c r="O107" i="21" s="1"/>
  <c r="AG163" i="16"/>
  <c r="L163" i="21"/>
  <c r="O163" i="21" s="1"/>
  <c r="AG52" i="16"/>
  <c r="L52" i="21"/>
  <c r="O52" i="21" s="1"/>
  <c r="AG128" i="16"/>
  <c r="L128" i="21"/>
  <c r="O128" i="21" s="1"/>
  <c r="AG161" i="16"/>
  <c r="L161" i="21"/>
  <c r="O161" i="21" s="1"/>
  <c r="AG53" i="16"/>
  <c r="L53" i="21"/>
  <c r="O53" i="21" s="1"/>
  <c r="AG157" i="16"/>
  <c r="L157" i="21"/>
  <c r="O157" i="21" s="1"/>
  <c r="AG118" i="16"/>
  <c r="L118" i="21"/>
  <c r="O118" i="21" s="1"/>
  <c r="AG55" i="16"/>
  <c r="L55" i="21"/>
  <c r="O55" i="21" s="1"/>
  <c r="AG115" i="16"/>
  <c r="L115" i="21"/>
  <c r="O115" i="21" s="1"/>
  <c r="AG155" i="16"/>
  <c r="L155" i="21"/>
  <c r="O155" i="21" s="1"/>
  <c r="AG20" i="16"/>
  <c r="L20" i="21"/>
  <c r="O20" i="21" s="1"/>
  <c r="AG60" i="16"/>
  <c r="L60" i="21"/>
  <c r="O60" i="21" s="1"/>
  <c r="AG120" i="16"/>
  <c r="L120" i="21"/>
  <c r="O120" i="21" s="1"/>
  <c r="AG160" i="16"/>
  <c r="L160" i="21"/>
  <c r="O160" i="21" s="1"/>
  <c r="AG14" i="16"/>
  <c r="L14" i="21"/>
  <c r="AG57" i="16"/>
  <c r="L57" i="21"/>
  <c r="O57" i="21" s="1"/>
  <c r="AG121" i="16"/>
  <c r="L121" i="21"/>
  <c r="O121" i="21" s="1"/>
  <c r="AG126" i="16"/>
  <c r="L126" i="21"/>
  <c r="O126" i="21" s="1"/>
  <c r="AG23" i="16"/>
  <c r="L23" i="21"/>
  <c r="O23" i="21" s="1"/>
  <c r="AG123" i="16"/>
  <c r="L123" i="21"/>
  <c r="O123" i="21" s="1"/>
  <c r="AG112" i="16"/>
  <c r="L112" i="21"/>
  <c r="O112" i="21" s="1"/>
  <c r="AG15" i="16"/>
  <c r="L15" i="21"/>
  <c r="O15" i="21" s="1"/>
  <c r="AG117" i="16"/>
  <c r="L117" i="21"/>
  <c r="O117" i="21" s="1"/>
  <c r="AG54" i="16"/>
  <c r="L54" i="21"/>
  <c r="O54" i="21" s="1"/>
  <c r="AG158" i="16"/>
  <c r="L158" i="21"/>
  <c r="O158" i="21" s="1"/>
  <c r="AG109" i="16"/>
  <c r="L109" i="21"/>
  <c r="O109" i="21" s="1"/>
  <c r="AG22" i="16"/>
  <c r="L22" i="21"/>
  <c r="O22" i="21" s="1"/>
  <c r="AG17" i="16"/>
  <c r="L17" i="21"/>
  <c r="O17" i="21" s="1"/>
  <c r="AG18" i="16"/>
  <c r="L18" i="21"/>
  <c r="O18" i="21" s="1"/>
  <c r="AG58" i="16"/>
  <c r="L58" i="21"/>
  <c r="O58" i="21" s="1"/>
  <c r="AG122" i="16"/>
  <c r="L122" i="21"/>
  <c r="O122" i="21" s="1"/>
  <c r="AG162" i="16"/>
  <c r="L162" i="21"/>
  <c r="O162" i="21" s="1"/>
  <c r="AG19" i="16"/>
  <c r="L19" i="21"/>
  <c r="O19" i="21" s="1"/>
  <c r="AG59" i="16"/>
  <c r="L59" i="21"/>
  <c r="O59" i="21" s="1"/>
  <c r="AG119" i="16"/>
  <c r="L119" i="21"/>
  <c r="O119" i="21" s="1"/>
  <c r="AG159" i="16"/>
  <c r="L159" i="21"/>
  <c r="O159" i="21" s="1"/>
  <c r="AG24" i="16"/>
  <c r="L24" i="21"/>
  <c r="O24" i="21" s="1"/>
  <c r="AG108" i="16"/>
  <c r="L108" i="21"/>
  <c r="O108" i="21" s="1"/>
  <c r="AG124" i="16"/>
  <c r="L124" i="21"/>
  <c r="O124" i="21" s="1"/>
  <c r="AG164" i="16"/>
  <c r="L225" i="21"/>
  <c r="O225" i="21" s="1"/>
  <c r="L221" i="21"/>
  <c r="O221" i="21" s="1"/>
  <c r="L217" i="21"/>
  <c r="O217" i="21" s="1"/>
  <c r="L193" i="21"/>
  <c r="O193" i="21" s="1"/>
  <c r="L189" i="21"/>
  <c r="O189" i="21" s="1"/>
  <c r="L223" i="21"/>
  <c r="O223" i="21" s="1"/>
  <c r="L219" i="21"/>
  <c r="O219" i="21" s="1"/>
  <c r="L195" i="21"/>
  <c r="O195" i="21" s="1"/>
  <c r="L191" i="21"/>
  <c r="O191" i="21" s="1"/>
  <c r="L226" i="21"/>
  <c r="O226" i="21" s="1"/>
  <c r="L224" i="21"/>
  <c r="O224" i="21" s="1"/>
  <c r="L222" i="21"/>
  <c r="O222" i="21" s="1"/>
  <c r="L220" i="21"/>
  <c r="O220" i="21" s="1"/>
  <c r="L218" i="21"/>
  <c r="O218" i="21" s="1"/>
  <c r="L196" i="21"/>
  <c r="O196" i="21" s="1"/>
  <c r="L190" i="21"/>
  <c r="O190" i="21" s="1"/>
  <c r="L192" i="21"/>
  <c r="O192" i="21" s="1"/>
  <c r="L194" i="21"/>
  <c r="O194" i="21" s="1"/>
  <c r="L164" i="21"/>
  <c r="O164" i="21" s="1"/>
  <c r="AP2" i="16"/>
  <c r="O14" i="21" l="1"/>
  <c r="W7" i="21" s="1"/>
  <c r="T7" i="21"/>
  <c r="AC7" i="21"/>
  <c r="AP7" i="16"/>
  <c r="AQ2" i="16"/>
  <c r="Z7" i="21" l="1"/>
  <c r="AH7" i="21" s="1"/>
  <c r="AQ7" i="16"/>
  <c r="AP9" i="16"/>
  <c r="AQ9" i="16" s="1"/>
  <c r="AF386" i="16" l="1"/>
  <c r="Z386" i="16"/>
  <c r="N527" i="21"/>
  <c r="K527" i="21"/>
  <c r="AL26" i="9"/>
  <c r="AJ26" i="9"/>
  <c r="M18" i="21"/>
  <c r="J18" i="21"/>
  <c r="AF335" i="16"/>
  <c r="Z335" i="16"/>
  <c r="N131" i="21"/>
  <c r="K131" i="21"/>
  <c r="N474" i="21"/>
  <c r="K474" i="21"/>
  <c r="N535" i="21"/>
  <c r="K535" i="21"/>
  <c r="AG16" i="9"/>
  <c r="AE16" i="9"/>
  <c r="AO16" i="9"/>
  <c r="AE141" i="17"/>
  <c r="Z141" i="17"/>
  <c r="AE73" i="17"/>
  <c r="Z73" i="17"/>
  <c r="M210" i="21"/>
  <c r="J210" i="21"/>
  <c r="AG37" i="9"/>
  <c r="AE37" i="9"/>
  <c r="AO37" i="9"/>
  <c r="AD21" i="17"/>
  <c r="Y21" i="17"/>
  <c r="AF506" i="16"/>
  <c r="R13" i="25"/>
  <c r="R7" i="25"/>
  <c r="AC86" i="23"/>
  <c r="AC34" i="23"/>
  <c r="AF34" i="8"/>
  <c r="AP34" i="8"/>
  <c r="N488" i="21"/>
  <c r="K488" i="21"/>
  <c r="AD23" i="17"/>
  <c r="Y23" i="17"/>
  <c r="N372" i="21"/>
  <c r="K372" i="21"/>
  <c r="AF77" i="23"/>
  <c r="AF25" i="23"/>
  <c r="AL53" i="9"/>
  <c r="AB75" i="23"/>
  <c r="AB23" i="23"/>
  <c r="N313" i="21"/>
  <c r="K313" i="21"/>
  <c r="AE156" i="17"/>
  <c r="Z156" i="17"/>
  <c r="AF189" i="16"/>
  <c r="Z189" i="16"/>
  <c r="AE43" i="17"/>
  <c r="Z43" i="17"/>
  <c r="N429" i="21"/>
  <c r="K429" i="21"/>
  <c r="AF269" i="16"/>
  <c r="Z269" i="16"/>
  <c r="AE182" i="16"/>
  <c r="Y182" i="16"/>
  <c r="AG59" i="23"/>
  <c r="AG7" i="23"/>
  <c r="N251" i="21"/>
  <c r="K251" i="21"/>
  <c r="AF254" i="16"/>
  <c r="N241" i="21"/>
  <c r="K241" i="21"/>
  <c r="AC87" i="23"/>
  <c r="AC35" i="23"/>
  <c r="AF35" i="8"/>
  <c r="AP35" i="8"/>
  <c r="N344" i="21"/>
  <c r="K344" i="21"/>
  <c r="N466" i="21"/>
  <c r="K466" i="21"/>
  <c r="N416" i="21"/>
  <c r="K416" i="21"/>
  <c r="N84" i="23"/>
  <c r="N32" i="23"/>
  <c r="AF311" i="16"/>
  <c r="Z311" i="16"/>
  <c r="AO55" i="8"/>
  <c r="AO53" i="8"/>
  <c r="AF101" i="23"/>
  <c r="AF49" i="23"/>
  <c r="AK43" i="8"/>
  <c r="AK43" i="9"/>
  <c r="AM22" i="8"/>
  <c r="T22" i="8"/>
  <c r="N22" i="8"/>
  <c r="AG10" i="9"/>
  <c r="AE10" i="9"/>
  <c r="AO10" i="9"/>
  <c r="N432" i="21"/>
  <c r="K432" i="21"/>
  <c r="N401" i="21"/>
  <c r="K401" i="21"/>
  <c r="AE27" i="17"/>
  <c r="Z27" i="17"/>
  <c r="AE151" i="17"/>
  <c r="Z151" i="17"/>
  <c r="N377" i="21"/>
  <c r="K377" i="21"/>
  <c r="AD45" i="17"/>
  <c r="Y45" i="17"/>
  <c r="N34" i="21"/>
  <c r="K34" i="21"/>
  <c r="AE201" i="17"/>
  <c r="Z201" i="17"/>
  <c r="AM26" i="9"/>
  <c r="T26" i="9"/>
  <c r="N26" i="9"/>
  <c r="AL22" i="9"/>
  <c r="AJ22" i="9"/>
  <c r="N53" i="21"/>
  <c r="K53" i="21"/>
  <c r="AG6" i="9"/>
  <c r="AE6" i="9"/>
  <c r="AO6" i="9"/>
  <c r="AF464" i="16"/>
  <c r="AB89" i="23"/>
  <c r="AB37" i="23"/>
  <c r="N237" i="21"/>
  <c r="K237" i="21"/>
  <c r="AE143" i="17"/>
  <c r="Z143" i="17"/>
  <c r="AL42" i="9"/>
  <c r="AJ42" i="9"/>
  <c r="AG13" i="9"/>
  <c r="AE13" i="9"/>
  <c r="AO13" i="9"/>
  <c r="N130" i="21"/>
  <c r="K130" i="21"/>
  <c r="AF360" i="16"/>
  <c r="Z360" i="16"/>
  <c r="N176" i="21"/>
  <c r="K176" i="21"/>
  <c r="N32" i="21"/>
  <c r="K32" i="21"/>
  <c r="N225" i="21"/>
  <c r="K225" i="21"/>
  <c r="AF83" i="23"/>
  <c r="AF31" i="23"/>
  <c r="N164" i="21"/>
  <c r="K164" i="21"/>
  <c r="N356" i="21"/>
  <c r="K356" i="21"/>
  <c r="N60" i="21"/>
  <c r="K60" i="21"/>
  <c r="AM45" i="9"/>
  <c r="T45" i="9"/>
  <c r="N45" i="9"/>
  <c r="M152" i="21"/>
  <c r="J152" i="21"/>
  <c r="AM40" i="9"/>
  <c r="T40" i="9"/>
  <c r="N40" i="9"/>
  <c r="N450" i="21"/>
  <c r="K450" i="21"/>
  <c r="AF68" i="23"/>
  <c r="AF16" i="23"/>
  <c r="N321" i="21"/>
  <c r="K321" i="21"/>
  <c r="AE82" i="17"/>
  <c r="Z82" i="17"/>
  <c r="AF279" i="16"/>
  <c r="Z279" i="16"/>
  <c r="N342" i="21"/>
  <c r="K342" i="21"/>
  <c r="AL45" i="8"/>
  <c r="AJ45" i="8"/>
  <c r="AE138" i="17"/>
  <c r="Z138" i="17"/>
  <c r="AG36" i="8"/>
  <c r="AE101" i="17"/>
  <c r="Z101" i="17"/>
  <c r="N373" i="21"/>
  <c r="K373" i="21"/>
  <c r="AM8" i="8"/>
  <c r="T8" i="8"/>
  <c r="N8" i="8"/>
  <c r="AB92" i="23"/>
  <c r="AB40" i="23"/>
  <c r="AF546" i="16"/>
  <c r="AF81" i="16"/>
  <c r="Z474" i="16"/>
  <c r="AF474" i="16"/>
  <c r="AL30" i="9"/>
  <c r="AJ30" i="9"/>
  <c r="N3" i="21"/>
  <c r="K3" i="21"/>
  <c r="AM38" i="8"/>
  <c r="T38" i="8"/>
  <c r="N38" i="8"/>
  <c r="AB99" i="23"/>
  <c r="AB47" i="23"/>
  <c r="N35" i="21"/>
  <c r="K35" i="21"/>
  <c r="AD46" i="17"/>
  <c r="Y46" i="17"/>
  <c r="AE179" i="16"/>
  <c r="Y179" i="16"/>
  <c r="N387" i="21"/>
  <c r="K387" i="21"/>
  <c r="AG83" i="23"/>
  <c r="AG31" i="23"/>
  <c r="AF297" i="16"/>
  <c r="Z297" i="16"/>
  <c r="N128" i="21"/>
  <c r="K128" i="21"/>
  <c r="M208" i="21"/>
  <c r="J208" i="21"/>
  <c r="AF82" i="23"/>
  <c r="AF30" i="23"/>
  <c r="N30" i="9"/>
  <c r="T30" i="9"/>
  <c r="AM30" i="9"/>
  <c r="AE61" i="17"/>
  <c r="Z61" i="17"/>
  <c r="AE112" i="17"/>
  <c r="Z112" i="17"/>
  <c r="AF443" i="16"/>
  <c r="N280" i="21"/>
  <c r="K280" i="21"/>
  <c r="N69" i="23"/>
  <c r="N17" i="23"/>
  <c r="AL20" i="9"/>
  <c r="AJ20" i="9"/>
  <c r="AL6" i="16"/>
  <c r="AK6" i="16"/>
  <c r="AF545" i="16"/>
  <c r="AE56" i="17"/>
  <c r="Z56" i="17"/>
  <c r="AE28" i="17"/>
  <c r="Z28" i="17"/>
  <c r="AO36" i="8"/>
  <c r="AE36" i="8"/>
  <c r="AB36" i="23"/>
  <c r="AB88" i="23"/>
  <c r="Z416" i="16"/>
  <c r="AF416" i="16"/>
  <c r="Z241" i="16"/>
  <c r="AF241" i="16"/>
  <c r="M3" i="21"/>
  <c r="J3" i="21"/>
  <c r="Z545" i="16"/>
  <c r="K545" i="21"/>
  <c r="N545" i="21"/>
  <c r="AF201" i="16"/>
  <c r="Z201" i="16"/>
  <c r="AF81" i="23"/>
  <c r="AF29" i="23"/>
  <c r="AK43" i="6"/>
  <c r="AK43" i="7"/>
  <c r="AG43" i="23"/>
  <c r="AG95" i="23"/>
  <c r="AF174" i="16"/>
  <c r="Z174" i="16"/>
  <c r="AF341" i="16"/>
  <c r="Z341" i="16"/>
  <c r="Z443" i="16"/>
  <c r="K443" i="21"/>
  <c r="N443" i="21"/>
  <c r="N81" i="23"/>
  <c r="N29" i="23"/>
  <c r="AB59" i="23"/>
  <c r="AB7" i="23"/>
  <c r="AF25" i="16"/>
  <c r="AF169" i="16"/>
  <c r="Z169" i="16"/>
  <c r="AE176" i="17"/>
  <c r="Z176" i="17"/>
  <c r="N247" i="21"/>
  <c r="K247" i="21"/>
  <c r="Z53" i="16"/>
  <c r="AF53" i="16"/>
  <c r="N490" i="21"/>
  <c r="K490" i="21"/>
  <c r="AE192" i="17"/>
  <c r="Z192" i="17"/>
  <c r="N27" i="8"/>
  <c r="T27" i="8"/>
  <c r="AM27" i="8"/>
  <c r="M180" i="21"/>
  <c r="J180" i="21"/>
  <c r="AG98" i="23"/>
  <c r="AG46" i="23"/>
  <c r="AG76" i="23"/>
  <c r="AG24" i="23"/>
  <c r="AM47" i="9"/>
  <c r="T47" i="9"/>
  <c r="N47" i="9"/>
  <c r="AF30" i="16"/>
  <c r="AL44" i="9"/>
  <c r="AJ44" i="9"/>
  <c r="N23" i="23"/>
  <c r="N75" i="23"/>
  <c r="N307" i="21"/>
  <c r="K307" i="21"/>
  <c r="Z464" i="16"/>
  <c r="K464" i="21"/>
  <c r="N464" i="21"/>
  <c r="AL10" i="9"/>
  <c r="AJ10" i="9"/>
  <c r="AE126" i="17"/>
  <c r="Z126" i="17"/>
  <c r="AF48" i="9"/>
  <c r="AP48" i="9"/>
  <c r="N33" i="21"/>
  <c r="K33" i="21"/>
  <c r="N326" i="21"/>
  <c r="K326" i="21"/>
  <c r="AL34" i="9"/>
  <c r="AJ34" i="9"/>
  <c r="AE58" i="17"/>
  <c r="Z58" i="17"/>
  <c r="N424" i="21"/>
  <c r="K424" i="21"/>
  <c r="AC100" i="23"/>
  <c r="AC48" i="23"/>
  <c r="AF48" i="8"/>
  <c r="AP48" i="8"/>
  <c r="AL40" i="8"/>
  <c r="AJ40" i="8"/>
  <c r="AL46" i="8"/>
  <c r="AJ46" i="8"/>
  <c r="N496" i="21"/>
  <c r="K496" i="21"/>
  <c r="N80" i="23"/>
  <c r="N28" i="23"/>
  <c r="N366" i="21"/>
  <c r="K366" i="21"/>
  <c r="M99" i="21"/>
  <c r="J99" i="21"/>
  <c r="N455" i="21"/>
  <c r="K455" i="21"/>
  <c r="AF194" i="16"/>
  <c r="Z194" i="16"/>
  <c r="N423" i="21"/>
  <c r="K423" i="21"/>
  <c r="AF527" i="16"/>
  <c r="Z527" i="16"/>
  <c r="Z450" i="16"/>
  <c r="AF450" i="16"/>
  <c r="N197" i="21"/>
  <c r="K197" i="21"/>
  <c r="N29" i="21"/>
  <c r="K29" i="21"/>
  <c r="AF50" i="9"/>
  <c r="AP50" i="9"/>
  <c r="AL15" i="8"/>
  <c r="AJ15" i="8"/>
  <c r="AF9" i="9"/>
  <c r="AP9" i="9"/>
  <c r="N526" i="21"/>
  <c r="K526" i="21"/>
  <c r="E49" i="5"/>
  <c r="E48" i="5"/>
  <c r="AO40" i="8"/>
  <c r="AE40" i="8"/>
  <c r="AG40" i="8"/>
  <c r="N65" i="23"/>
  <c r="N13" i="23"/>
  <c r="AF519" i="16"/>
  <c r="AB69" i="23"/>
  <c r="AB17" i="23"/>
  <c r="Z546" i="16"/>
  <c r="K546" i="21"/>
  <c r="N546" i="21"/>
  <c r="Z131" i="16"/>
  <c r="AF131" i="16"/>
  <c r="Z81" i="16"/>
  <c r="K81" i="21"/>
  <c r="N81" i="21"/>
  <c r="AG49" i="8"/>
  <c r="AF299" i="16"/>
  <c r="Z299" i="16"/>
  <c r="N425" i="21"/>
  <c r="K425" i="21"/>
  <c r="AL11" i="8"/>
  <c r="AJ11" i="8"/>
  <c r="AF73" i="23"/>
  <c r="AF21" i="23"/>
  <c r="M215" i="21"/>
  <c r="J215" i="21"/>
  <c r="N412" i="21"/>
  <c r="K412" i="21"/>
  <c r="AF231" i="16"/>
  <c r="AK31" i="9"/>
  <c r="AK31" i="6"/>
  <c r="AK31" i="7"/>
  <c r="AK31" i="8"/>
  <c r="AF39" i="9"/>
  <c r="AP39" i="9"/>
  <c r="AO32" i="9"/>
  <c r="AE32" i="9"/>
  <c r="AG32" i="9"/>
  <c r="AF375" i="16"/>
  <c r="Z375" i="16"/>
  <c r="AO49" i="8"/>
  <c r="AE49" i="8"/>
  <c r="AB49" i="23"/>
  <c r="AB101" i="23"/>
  <c r="AO47" i="8"/>
  <c r="AE47" i="8"/>
  <c r="AG47" i="8"/>
  <c r="Z35" i="16"/>
  <c r="AF35" i="16"/>
  <c r="Z488" i="16"/>
  <c r="AF488" i="16"/>
  <c r="AE55" i="17"/>
  <c r="Z55" i="17"/>
  <c r="AO23" i="8"/>
  <c r="AE23" i="8"/>
  <c r="AG23" i="8"/>
  <c r="AE38" i="17"/>
  <c r="Z38" i="17"/>
  <c r="AK21" i="8"/>
  <c r="AK21" i="9"/>
  <c r="AK58" i="7"/>
  <c r="AK53" i="7"/>
  <c r="AE41" i="16"/>
  <c r="Z490" i="16"/>
  <c r="AF490" i="16"/>
  <c r="AL8" i="8"/>
  <c r="AJ8" i="8"/>
  <c r="N354" i="21"/>
  <c r="K354" i="21"/>
  <c r="AM23" i="8"/>
  <c r="N23" i="8"/>
  <c r="T23" i="8"/>
  <c r="AF70" i="23"/>
  <c r="AF18" i="23"/>
  <c r="N163" i="21"/>
  <c r="K163" i="21"/>
  <c r="AF373" i="16"/>
  <c r="Z373" i="16"/>
  <c r="Y3" i="16"/>
  <c r="AE3" i="16"/>
  <c r="N430" i="21"/>
  <c r="K430" i="21"/>
  <c r="AE37" i="17"/>
  <c r="Z37" i="17"/>
  <c r="AL42" i="8"/>
  <c r="AJ42" i="8"/>
  <c r="AO31" i="9"/>
  <c r="AE31" i="9"/>
  <c r="AG31" i="9"/>
  <c r="N454" i="21"/>
  <c r="K454" i="21"/>
  <c r="N533" i="21"/>
  <c r="K533" i="21"/>
  <c r="AK17" i="8"/>
  <c r="AK17" i="9"/>
  <c r="N232" i="21"/>
  <c r="K232" i="21"/>
  <c r="AL41" i="9"/>
  <c r="AJ41" i="9"/>
  <c r="N362" i="21"/>
  <c r="K362" i="21"/>
  <c r="AG34" i="9"/>
  <c r="AE34" i="9"/>
  <c r="AO34" i="9"/>
  <c r="AG28" i="8"/>
  <c r="N66" i="23"/>
  <c r="N14" i="23"/>
  <c r="AL27" i="9"/>
  <c r="AJ27" i="9"/>
  <c r="Z247" i="16"/>
  <c r="AF247" i="16"/>
  <c r="AK21" i="6"/>
  <c r="AK21" i="7"/>
  <c r="AG21" i="23"/>
  <c r="AG73" i="23"/>
  <c r="AF479" i="16"/>
  <c r="AK47" i="8"/>
  <c r="AK47" i="9"/>
  <c r="AL24" i="9"/>
  <c r="AJ24" i="9"/>
  <c r="AF67" i="23"/>
  <c r="AF15" i="23"/>
  <c r="AF347" i="16"/>
  <c r="Z347" i="16"/>
  <c r="N95" i="23"/>
  <c r="N43" i="23"/>
  <c r="AF66" i="16"/>
  <c r="N505" i="21"/>
  <c r="K505" i="21"/>
  <c r="M209" i="21"/>
  <c r="J209" i="21"/>
  <c r="AE22" i="16"/>
  <c r="N436" i="21"/>
  <c r="K436" i="21"/>
  <c r="AE158" i="17"/>
  <c r="Z158" i="17"/>
  <c r="AL6" i="8"/>
  <c r="AJ6" i="8"/>
  <c r="Z191" i="17"/>
  <c r="AE191" i="17"/>
  <c r="AE11" i="21"/>
  <c r="AG43" i="9"/>
  <c r="AE43" i="9"/>
  <c r="AO43" i="9"/>
  <c r="AF44" i="9"/>
  <c r="AP44" i="9"/>
  <c r="AE190" i="17"/>
  <c r="Z190" i="17"/>
  <c r="AD49" i="17"/>
  <c r="Y49" i="17"/>
  <c r="Z424" i="16"/>
  <c r="AF424" i="16"/>
  <c r="AM51" i="9"/>
  <c r="T51" i="9"/>
  <c r="N51" i="9"/>
  <c r="N504" i="21"/>
  <c r="K504" i="21"/>
  <c r="AK23" i="9"/>
  <c r="AK23" i="8"/>
  <c r="AG24" i="8"/>
  <c r="AK24" i="8"/>
  <c r="AK24" i="6"/>
  <c r="AK24" i="7"/>
  <c r="AK24" i="9"/>
  <c r="AM19" i="9"/>
  <c r="T19" i="9"/>
  <c r="N19" i="9"/>
  <c r="AL15" i="9"/>
  <c r="AJ15" i="9"/>
  <c r="AF95" i="23"/>
  <c r="AF43" i="23"/>
  <c r="AL7" i="8"/>
  <c r="AJ7" i="8"/>
  <c r="AE6" i="16"/>
  <c r="AE20" i="16"/>
  <c r="AG32" i="8"/>
  <c r="V14" i="25"/>
  <c r="V9" i="25"/>
  <c r="V15" i="25"/>
  <c r="AD22" i="17"/>
  <c r="Y22" i="17"/>
  <c r="AF532" i="16"/>
  <c r="Z532" i="16"/>
  <c r="AL37" i="9"/>
  <c r="AJ37" i="9"/>
  <c r="AC93" i="23"/>
  <c r="AP41" i="8"/>
  <c r="AF41" i="8"/>
  <c r="AC41" i="23"/>
  <c r="AL23" i="8"/>
  <c r="AJ23" i="8"/>
  <c r="N61" i="21"/>
  <c r="K61" i="21"/>
  <c r="AC72" i="23"/>
  <c r="AC20" i="23"/>
  <c r="AF20" i="8"/>
  <c r="AP20" i="8"/>
  <c r="AM43" i="9"/>
  <c r="T43" i="9"/>
  <c r="N43" i="9"/>
  <c r="AL19" i="9"/>
  <c r="AJ19" i="9"/>
  <c r="M103" i="21"/>
  <c r="J103" i="21"/>
  <c r="AF376" i="16"/>
  <c r="Z376" i="16"/>
  <c r="AM13" i="8"/>
  <c r="T13" i="8"/>
  <c r="N13" i="8"/>
  <c r="N421" i="21"/>
  <c r="K421" i="21"/>
  <c r="AF199" i="16"/>
  <c r="Z199" i="16"/>
  <c r="AD47" i="17"/>
  <c r="Y47" i="17"/>
  <c r="AF38" i="9"/>
  <c r="AP38" i="9"/>
  <c r="Z423" i="16"/>
  <c r="AF423" i="16"/>
  <c r="AP11" i="8"/>
  <c r="AF11" i="8"/>
  <c r="AC11" i="23"/>
  <c r="AC63" i="23"/>
  <c r="AE184" i="16"/>
  <c r="Y184" i="16"/>
  <c r="Z128" i="16"/>
  <c r="AF128" i="16"/>
  <c r="Z519" i="16"/>
  <c r="K519" i="21"/>
  <c r="N519" i="21"/>
  <c r="Z29" i="16"/>
  <c r="AF29" i="16"/>
  <c r="AF370" i="16"/>
  <c r="Z370" i="16"/>
  <c r="N114" i="21"/>
  <c r="K114" i="21"/>
  <c r="AJ15" i="7"/>
  <c r="AL15" i="7"/>
  <c r="AP29" i="8"/>
  <c r="AF29" i="8"/>
  <c r="AC29" i="23"/>
  <c r="AC81" i="23"/>
  <c r="AL37" i="8"/>
  <c r="AJ37" i="8"/>
  <c r="Z506" i="16"/>
  <c r="K506" i="21"/>
  <c r="N506" i="21"/>
  <c r="AF499" i="16"/>
  <c r="N279" i="21"/>
  <c r="K279" i="21"/>
  <c r="N507" i="21"/>
  <c r="K507" i="21"/>
  <c r="Z231" i="16"/>
  <c r="K231" i="21"/>
  <c r="N231" i="21"/>
  <c r="N531" i="21"/>
  <c r="K531" i="21"/>
  <c r="AG80" i="23"/>
  <c r="AG28" i="23"/>
  <c r="AO12" i="9"/>
  <c r="AE12" i="9"/>
  <c r="AG12" i="9"/>
  <c r="Y18" i="16"/>
  <c r="AE18" i="16"/>
  <c r="Z114" i="16"/>
  <c r="AF114" i="16"/>
  <c r="AE86" i="17"/>
  <c r="Z86" i="17"/>
  <c r="Z425" i="16"/>
  <c r="AF425" i="16"/>
  <c r="AK28" i="8"/>
  <c r="AK28" i="6"/>
  <c r="AK28" i="7"/>
  <c r="AK28" i="9"/>
  <c r="N413" i="21"/>
  <c r="K413" i="21"/>
  <c r="Z412" i="16"/>
  <c r="AF412" i="16"/>
  <c r="AF346" i="16"/>
  <c r="Z346" i="16"/>
  <c r="AF362" i="16"/>
  <c r="Z362" i="16"/>
  <c r="AO17" i="8"/>
  <c r="AE17" i="8"/>
  <c r="AG17" i="8"/>
  <c r="AL21" i="9"/>
  <c r="AJ21" i="9"/>
  <c r="N360" i="21"/>
  <c r="K360" i="21"/>
  <c r="Z3" i="16"/>
  <c r="AF3" i="16"/>
  <c r="AE189" i="17"/>
  <c r="Z189" i="17"/>
  <c r="AL35" i="9"/>
  <c r="AJ35" i="9"/>
  <c r="Z413" i="16"/>
  <c r="AF413" i="16"/>
  <c r="N7" i="9"/>
  <c r="T7" i="9"/>
  <c r="AM7" i="9"/>
  <c r="Z429" i="16"/>
  <c r="AF429" i="16"/>
  <c r="AL50" i="9"/>
  <c r="AJ50" i="9"/>
  <c r="AF342" i="16"/>
  <c r="Z342" i="16"/>
  <c r="Y41" i="16"/>
  <c r="J41" i="21"/>
  <c r="M41" i="21"/>
  <c r="AF13" i="16"/>
  <c r="N2" i="21"/>
  <c r="V7" i="21"/>
  <c r="AJ7" i="21"/>
  <c r="Z254" i="16"/>
  <c r="K254" i="21"/>
  <c r="N254" i="21"/>
  <c r="Z163" i="16"/>
  <c r="AF163" i="16"/>
  <c r="N484" i="21"/>
  <c r="K484" i="21"/>
  <c r="Z505" i="16"/>
  <c r="AF505" i="16"/>
  <c r="Z430" i="16"/>
  <c r="AF430" i="16"/>
  <c r="AK7" i="8"/>
  <c r="AK7" i="7"/>
  <c r="AK7" i="9"/>
  <c r="AE71" i="17"/>
  <c r="Z71" i="17"/>
  <c r="Z251" i="16"/>
  <c r="AF251" i="16"/>
  <c r="AK17" i="6"/>
  <c r="AK17" i="7"/>
  <c r="AG17" i="23"/>
  <c r="AG69" i="23"/>
  <c r="N23" i="9"/>
  <c r="T23" i="9"/>
  <c r="AM23" i="9"/>
  <c r="AE66" i="17"/>
  <c r="Z66" i="17"/>
  <c r="AK46" i="8"/>
  <c r="AK46" i="6"/>
  <c r="AK46" i="7"/>
  <c r="AK46" i="9"/>
  <c r="Z484" i="16"/>
  <c r="AF484" i="16"/>
  <c r="AE124" i="17"/>
  <c r="Z124" i="17"/>
  <c r="Z507" i="16"/>
  <c r="AF507" i="16"/>
  <c r="N169" i="21"/>
  <c r="K169" i="21"/>
  <c r="AO48" i="9"/>
  <c r="AE48" i="9"/>
  <c r="AG48" i="9"/>
  <c r="Z466" i="16"/>
  <c r="AF466" i="16"/>
  <c r="N22" i="9"/>
  <c r="T22" i="9"/>
  <c r="AM22" i="9"/>
  <c r="Z232" i="16"/>
  <c r="AF232" i="16"/>
  <c r="AF76" i="23"/>
  <c r="AF24" i="23"/>
  <c r="AF19" i="9"/>
  <c r="AP19" i="9"/>
  <c r="AL19" i="8"/>
  <c r="AJ19" i="8"/>
  <c r="AO28" i="8"/>
  <c r="AE28" i="8"/>
  <c r="AB28" i="23"/>
  <c r="AB80" i="23"/>
  <c r="AE35" i="17"/>
  <c r="Z35" i="17"/>
  <c r="AF58" i="8"/>
  <c r="AM53" i="8"/>
  <c r="AE58" i="8"/>
  <c r="Z504" i="16"/>
  <c r="AF504" i="16"/>
  <c r="Z25" i="16"/>
  <c r="K25" i="21"/>
  <c r="N25" i="21"/>
  <c r="Z13" i="16"/>
  <c r="K13" i="21"/>
  <c r="N13" i="21"/>
  <c r="Z454" i="16"/>
  <c r="AF454" i="16"/>
  <c r="Z479" i="16"/>
  <c r="K479" i="21"/>
  <c r="N479" i="21"/>
  <c r="AK47" i="6"/>
  <c r="AK47" i="7"/>
  <c r="AG47" i="23"/>
  <c r="AG99" i="23"/>
  <c r="AO20" i="9"/>
  <c r="AE20" i="9"/>
  <c r="AG20" i="9"/>
  <c r="Z432" i="16"/>
  <c r="AF432" i="16"/>
  <c r="Z33" i="16"/>
  <c r="AF33" i="16"/>
  <c r="N316" i="21"/>
  <c r="K316" i="21"/>
  <c r="Z401" i="16"/>
  <c r="AF401" i="16"/>
  <c r="Z66" i="16"/>
  <c r="K66" i="21"/>
  <c r="N66" i="21"/>
  <c r="AE12" i="17"/>
  <c r="Z12" i="17"/>
  <c r="Y22" i="16"/>
  <c r="J22" i="21"/>
  <c r="M22" i="21"/>
  <c r="N217" i="21"/>
  <c r="K217" i="21"/>
  <c r="N94" i="23"/>
  <c r="N42" i="23"/>
  <c r="AO7" i="8"/>
  <c r="AE7" i="8"/>
  <c r="AG7" i="8"/>
  <c r="N31" i="8"/>
  <c r="T31" i="8"/>
  <c r="AM31" i="8"/>
  <c r="N311" i="21"/>
  <c r="K311" i="21"/>
  <c r="AP42" i="8"/>
  <c r="AF42" i="8"/>
  <c r="AC42" i="23"/>
  <c r="AC94" i="23"/>
  <c r="Z30" i="16"/>
  <c r="K30" i="21"/>
  <c r="N30" i="21"/>
  <c r="AE103" i="17"/>
  <c r="Z103" i="17"/>
  <c r="AK23" i="6"/>
  <c r="AK23" i="7"/>
  <c r="AG23" i="23"/>
  <c r="AG75" i="23"/>
  <c r="AO24" i="8"/>
  <c r="AE24" i="8"/>
  <c r="AB24" i="23"/>
  <c r="AB76" i="23"/>
  <c r="N28" i="8"/>
  <c r="T28" i="8"/>
  <c r="AM28" i="8"/>
  <c r="AF284" i="16"/>
  <c r="Z284" i="16"/>
  <c r="Z34" i="16"/>
  <c r="AF34" i="16"/>
  <c r="AE144" i="17"/>
  <c r="Z144" i="17"/>
  <c r="AO51" i="9"/>
  <c r="AE51" i="9"/>
  <c r="AG51" i="9"/>
  <c r="AL18" i="8"/>
  <c r="AJ18" i="8"/>
  <c r="Y6" i="16"/>
  <c r="J6" i="21"/>
  <c r="M6" i="21"/>
  <c r="AD16" i="17"/>
  <c r="Y16" i="17"/>
  <c r="N333" i="21"/>
  <c r="K333" i="21"/>
  <c r="Y20" i="16"/>
  <c r="J20" i="21"/>
  <c r="M20" i="21"/>
  <c r="AO32" i="8"/>
  <c r="AE32" i="8"/>
  <c r="AB32" i="23"/>
  <c r="AB84" i="23"/>
  <c r="N297" i="21"/>
  <c r="K297" i="21"/>
  <c r="AF294" i="16"/>
  <c r="Z294" i="16"/>
  <c r="AF45" i="9"/>
  <c r="AP45" i="9"/>
  <c r="Z499" i="16"/>
  <c r="K499" i="21"/>
  <c r="N499" i="21"/>
  <c r="AO37" i="8"/>
  <c r="AE37" i="8"/>
  <c r="AG37" i="8"/>
  <c r="Z237" i="16"/>
  <c r="AF237" i="16"/>
  <c r="Z130" i="16"/>
  <c r="AF130" i="16"/>
  <c r="AG101" i="23"/>
  <c r="AG49" i="23"/>
  <c r="Z436" i="16"/>
  <c r="AF436" i="16"/>
  <c r="AE199" i="17"/>
  <c r="Z199" i="17"/>
  <c r="N475" i="21"/>
  <c r="K475" i="21"/>
  <c r="N9" i="21"/>
  <c r="K9" i="21"/>
  <c r="AC80" i="23"/>
  <c r="AP28" i="8"/>
  <c r="AF28" i="8"/>
  <c r="AC28" i="23"/>
  <c r="N379" i="21"/>
  <c r="K379" i="21"/>
  <c r="AM8" i="9"/>
  <c r="T8" i="9"/>
  <c r="N8" i="9"/>
  <c r="AG63" i="23"/>
  <c r="AG11" i="23"/>
  <c r="AL26" i="8"/>
  <c r="AJ26" i="8"/>
  <c r="N12" i="21"/>
  <c r="K12" i="21"/>
  <c r="N409" i="21"/>
  <c r="K409" i="21"/>
  <c r="N175" i="21"/>
  <c r="K175" i="21"/>
  <c r="N300" i="21"/>
  <c r="K300" i="21"/>
  <c r="AP8" i="8"/>
  <c r="AF8" i="8"/>
  <c r="AC8" i="23"/>
  <c r="AC60" i="23"/>
  <c r="AF530" i="16"/>
  <c r="Z530" i="16"/>
  <c r="N286" i="21"/>
  <c r="K286" i="21"/>
  <c r="N82" i="23"/>
  <c r="N30" i="23"/>
  <c r="N236" i="21"/>
  <c r="K236" i="21"/>
  <c r="AF371" i="16"/>
  <c r="Z371" i="16"/>
  <c r="N51" i="21"/>
  <c r="K51" i="21"/>
  <c r="N439" i="21"/>
  <c r="K439" i="21"/>
  <c r="N71" i="21"/>
  <c r="K71" i="21"/>
  <c r="AE179" i="17"/>
  <c r="Z179" i="17"/>
  <c r="Z236" i="16"/>
  <c r="AF236" i="16"/>
  <c r="N35" i="9"/>
  <c r="T35" i="9"/>
  <c r="AM35" i="9"/>
  <c r="AF289" i="16"/>
  <c r="Z289" i="16"/>
  <c r="AK11" i="9"/>
  <c r="AK11" i="6"/>
  <c r="AK11" i="7"/>
  <c r="AK11" i="8"/>
  <c r="AE181" i="17"/>
  <c r="Z181" i="17"/>
  <c r="AG51" i="8"/>
  <c r="N285" i="21"/>
  <c r="K285" i="21"/>
  <c r="M39" i="21"/>
  <c r="J39" i="21"/>
  <c r="AF345" i="16"/>
  <c r="Z345" i="16"/>
  <c r="AO55" i="9"/>
  <c r="AO53" i="9"/>
  <c r="AF111" i="16"/>
  <c r="AE128" i="17"/>
  <c r="Z128" i="17"/>
  <c r="AB68" i="23"/>
  <c r="AB16" i="23"/>
  <c r="AM16" i="8"/>
  <c r="T16" i="8"/>
  <c r="N16" i="8"/>
  <c r="N480" i="21"/>
  <c r="K480" i="21"/>
  <c r="AF58" i="16"/>
  <c r="AF22" i="9"/>
  <c r="AP22" i="9"/>
  <c r="AM44" i="9"/>
  <c r="T44" i="9"/>
  <c r="N44" i="9"/>
  <c r="AE133" i="17"/>
  <c r="Z133" i="17"/>
  <c r="AB81" i="23"/>
  <c r="AB29" i="23"/>
  <c r="N399" i="21"/>
  <c r="K399" i="21"/>
  <c r="N347" i="21"/>
  <c r="K347" i="21"/>
  <c r="M212" i="21"/>
  <c r="J212" i="21"/>
  <c r="AF4" i="16"/>
  <c r="Z421" i="16"/>
  <c r="AF421" i="16"/>
  <c r="N220" i="21"/>
  <c r="K220" i="21"/>
  <c r="N168" i="21"/>
  <c r="K168" i="21"/>
  <c r="AM31" i="9"/>
  <c r="T31" i="9"/>
  <c r="N31" i="9"/>
  <c r="AF312" i="16"/>
  <c r="Z312" i="16"/>
  <c r="AF366" i="16"/>
  <c r="Z366" i="16"/>
  <c r="N134" i="21"/>
  <c r="K134" i="21"/>
  <c r="N277" i="21"/>
  <c r="K277" i="21"/>
  <c r="N256" i="21"/>
  <c r="K256" i="21"/>
  <c r="AC103" i="23"/>
  <c r="AC51" i="23"/>
  <c r="AF51" i="8"/>
  <c r="AP51" i="8"/>
  <c r="AF353" i="16"/>
  <c r="Z353" i="16"/>
  <c r="AG100" i="23"/>
  <c r="AG48" i="23"/>
  <c r="AE210" i="16"/>
  <c r="Y210" i="16"/>
  <c r="N50" i="21"/>
  <c r="K50" i="21"/>
  <c r="AD15" i="17"/>
  <c r="Y15" i="17"/>
  <c r="N36" i="21"/>
  <c r="K36" i="21"/>
  <c r="N418" i="21"/>
  <c r="K418" i="21"/>
  <c r="N444" i="21"/>
  <c r="K444" i="21"/>
  <c r="AF80" i="23"/>
  <c r="AF28" i="23"/>
  <c r="AE57" i="17"/>
  <c r="Z57" i="17"/>
  <c r="AE32" i="17"/>
  <c r="Z32" i="17"/>
  <c r="AL37" i="7"/>
  <c r="AE168" i="17"/>
  <c r="Z168" i="17"/>
  <c r="M90" i="21"/>
  <c r="J90" i="21"/>
  <c r="AE111" i="17"/>
  <c r="Z111" i="17"/>
  <c r="AF96" i="23"/>
  <c r="AF44" i="23"/>
  <c r="N90" i="23"/>
  <c r="N38" i="23"/>
  <c r="AE163" i="17"/>
  <c r="Z163" i="17"/>
  <c r="Z147" i="17"/>
  <c r="AE147" i="17"/>
  <c r="AJ7" i="17"/>
  <c r="N174" i="21"/>
  <c r="K174" i="21"/>
  <c r="AE174" i="17"/>
  <c r="Z174" i="17"/>
  <c r="AO51" i="8"/>
  <c r="AE51" i="8"/>
  <c r="AB51" i="23"/>
  <c r="AB103" i="23"/>
  <c r="AL36" i="8"/>
  <c r="AJ36" i="8"/>
  <c r="N299" i="21"/>
  <c r="K299" i="21"/>
  <c r="N24" i="21"/>
  <c r="K24" i="21"/>
  <c r="Z111" i="16"/>
  <c r="K111" i="21"/>
  <c r="N111" i="21"/>
  <c r="M211" i="21"/>
  <c r="J211" i="21"/>
  <c r="N57" i="21"/>
  <c r="K57" i="21"/>
  <c r="AM20" i="8"/>
  <c r="T20" i="8"/>
  <c r="N20" i="8"/>
  <c r="AF123" i="16"/>
  <c r="Z58" i="16"/>
  <c r="K58" i="21"/>
  <c r="N58" i="21"/>
  <c r="AE214" i="16"/>
  <c r="Y214" i="16"/>
  <c r="AF71" i="23"/>
  <c r="AF19" i="23"/>
  <c r="N392" i="21"/>
  <c r="K392" i="21"/>
  <c r="AF221" i="16"/>
  <c r="Z221" i="16"/>
  <c r="AF533" i="16"/>
  <c r="Z533" i="16"/>
  <c r="AE108" i="17"/>
  <c r="Z108" i="17"/>
  <c r="AL3" i="16"/>
  <c r="Z4" i="16"/>
  <c r="K4" i="21"/>
  <c r="N4" i="21"/>
  <c r="AF78" i="16"/>
  <c r="AF63" i="16"/>
  <c r="AF273" i="16"/>
  <c r="Z273" i="16"/>
  <c r="AK5" i="9"/>
  <c r="AK5" i="8"/>
  <c r="AF352" i="16"/>
  <c r="Z352" i="16"/>
  <c r="AF481" i="16"/>
  <c r="N294" i="21"/>
  <c r="K294" i="21"/>
  <c r="AF307" i="16"/>
  <c r="Z307" i="16"/>
  <c r="AB83" i="23"/>
  <c r="AB31" i="23"/>
  <c r="N257" i="21"/>
  <c r="K257" i="21"/>
  <c r="AF467" i="16"/>
  <c r="AE54" i="17"/>
  <c r="Z54" i="17"/>
  <c r="N17" i="21"/>
  <c r="K17" i="21"/>
  <c r="AF24" i="9"/>
  <c r="AP24" i="9"/>
  <c r="N189" i="21"/>
  <c r="K189" i="21"/>
  <c r="AF193" i="16"/>
  <c r="Z193" i="16"/>
  <c r="AJ58" i="7"/>
  <c r="AJ53" i="7"/>
  <c r="AB60" i="23"/>
  <c r="AB8" i="23"/>
  <c r="AF240" i="16"/>
  <c r="AV7" i="16"/>
  <c r="AU7" i="16"/>
  <c r="AE105" i="16"/>
  <c r="AK20" i="9"/>
  <c r="AK20" i="8"/>
  <c r="AL48" i="8"/>
  <c r="AJ48" i="8"/>
  <c r="Z475" i="16"/>
  <c r="AF475" i="16"/>
  <c r="AF426" i="16"/>
  <c r="AK16" i="8"/>
  <c r="AK16" i="9"/>
  <c r="AF7" i="9"/>
  <c r="AP7" i="9"/>
  <c r="AF97" i="23"/>
  <c r="AF45" i="23"/>
  <c r="N525" i="21"/>
  <c r="K525" i="21"/>
  <c r="N234" i="21"/>
  <c r="K234" i="21"/>
  <c r="AF293" i="16"/>
  <c r="Z293" i="16"/>
  <c r="AJ6" i="17"/>
  <c r="Y14" i="17"/>
  <c r="AD14" i="17"/>
  <c r="AD7" i="21"/>
  <c r="AK49" i="9"/>
  <c r="AK49" i="6"/>
  <c r="AK49" i="7"/>
  <c r="AK49" i="8"/>
  <c r="AJ19" i="7"/>
  <c r="AL19" i="7"/>
  <c r="Y103" i="16"/>
  <c r="AE103" i="16"/>
  <c r="AF290" i="16"/>
  <c r="Z290" i="16"/>
  <c r="AL47" i="8"/>
  <c r="AJ47" i="8"/>
  <c r="AD24" i="17"/>
  <c r="Y24" i="17"/>
  <c r="AO42" i="9"/>
  <c r="AE42" i="9"/>
  <c r="AG42" i="9"/>
  <c r="AD17" i="17"/>
  <c r="Y17" i="17"/>
  <c r="N204" i="21"/>
  <c r="K204" i="21"/>
  <c r="AF514" i="16"/>
  <c r="AF7" i="16"/>
  <c r="AF263" i="16"/>
  <c r="Z263" i="16"/>
  <c r="N171" i="21"/>
  <c r="K171" i="21"/>
  <c r="Z392" i="16"/>
  <c r="AF392" i="16"/>
  <c r="AK18" i="9"/>
  <c r="AK18" i="8"/>
  <c r="AF204" i="16"/>
  <c r="Z204" i="16"/>
  <c r="AF320" i="16"/>
  <c r="Z320" i="16"/>
  <c r="N411" i="21"/>
  <c r="K411" i="21"/>
  <c r="Z409" i="16"/>
  <c r="AF409" i="16"/>
  <c r="AL53" i="8"/>
  <c r="Z57" i="16"/>
  <c r="AF57" i="16"/>
  <c r="M149" i="21"/>
  <c r="J149" i="21"/>
  <c r="AO17" i="9"/>
  <c r="AE17" i="9"/>
  <c r="AG17" i="9"/>
  <c r="Z123" i="16"/>
  <c r="K123" i="21"/>
  <c r="N123" i="21"/>
  <c r="AF59" i="16"/>
  <c r="Z24" i="16"/>
  <c r="AF24" i="16"/>
  <c r="N522" i="21"/>
  <c r="K522" i="21"/>
  <c r="AO16" i="8"/>
  <c r="AE16" i="8"/>
  <c r="AG16" i="8"/>
  <c r="N238" i="21"/>
  <c r="K238" i="21"/>
  <c r="AE77" i="17"/>
  <c r="Z77" i="17"/>
  <c r="AE148" i="16"/>
  <c r="AF175" i="16"/>
  <c r="Z175" i="16"/>
  <c r="N269" i="21"/>
  <c r="K269" i="21"/>
  <c r="AE132" i="17"/>
  <c r="Z132" i="17"/>
  <c r="N329" i="21"/>
  <c r="K329" i="21"/>
  <c r="AG47" i="9"/>
  <c r="AE47" i="9"/>
  <c r="AO47" i="9"/>
  <c r="Z455" i="16"/>
  <c r="AF455" i="16"/>
  <c r="Z63" i="16"/>
  <c r="K63" i="21"/>
  <c r="N63" i="21"/>
  <c r="AM36" i="9"/>
  <c r="T36" i="9"/>
  <c r="N36" i="9"/>
  <c r="M10" i="21"/>
  <c r="J10" i="21"/>
  <c r="AF361" i="16"/>
  <c r="Z361" i="16"/>
  <c r="Z481" i="16"/>
  <c r="K481" i="21"/>
  <c r="N481" i="21"/>
  <c r="N73" i="23"/>
  <c r="N21" i="23"/>
  <c r="AF270" i="16"/>
  <c r="Z270" i="16"/>
  <c r="AF79" i="23"/>
  <c r="AF27" i="23"/>
  <c r="AF29" i="9"/>
  <c r="AP29" i="9"/>
  <c r="AL41" i="8"/>
  <c r="AJ41" i="8"/>
  <c r="AF388" i="16"/>
  <c r="Z388" i="16"/>
  <c r="AL8" i="9"/>
  <c r="AJ8" i="9"/>
  <c r="N530" i="21"/>
  <c r="K530" i="21"/>
  <c r="Y105" i="16"/>
  <c r="J105" i="21"/>
  <c r="M105" i="21"/>
  <c r="AK20" i="6"/>
  <c r="AK20" i="7"/>
  <c r="AG20" i="23"/>
  <c r="AG72" i="23"/>
  <c r="N202" i="21"/>
  <c r="K202" i="21"/>
  <c r="Z426" i="16"/>
  <c r="K426" i="21"/>
  <c r="N426" i="21"/>
  <c r="AL10" i="8"/>
  <c r="AJ10" i="8"/>
  <c r="AF275" i="16"/>
  <c r="Z275" i="16"/>
  <c r="AO28" i="9"/>
  <c r="AE28" i="9"/>
  <c r="AG28" i="9"/>
  <c r="N91" i="23"/>
  <c r="N39" i="23"/>
  <c r="AE182" i="17"/>
  <c r="Z182" i="17"/>
  <c r="M145" i="21"/>
  <c r="J145" i="21"/>
  <c r="AF316" i="16"/>
  <c r="Z316" i="16"/>
  <c r="AM32" i="9"/>
  <c r="T32" i="9"/>
  <c r="N32" i="9"/>
  <c r="AE92" i="16"/>
  <c r="AF170" i="16"/>
  <c r="Z170" i="16"/>
  <c r="AL8" i="7"/>
  <c r="N331" i="21"/>
  <c r="K331" i="21"/>
  <c r="AE166" i="17"/>
  <c r="Z166" i="17"/>
  <c r="AG14" i="9"/>
  <c r="AE14" i="9"/>
  <c r="AO14" i="9"/>
  <c r="X13" i="25"/>
  <c r="X7" i="25"/>
  <c r="AF192" i="16"/>
  <c r="Z192" i="16"/>
  <c r="AV9" i="16"/>
  <c r="AU9" i="16"/>
  <c r="N76" i="23"/>
  <c r="N24" i="23"/>
  <c r="N520" i="21"/>
  <c r="K520" i="21"/>
  <c r="AM7" i="8"/>
  <c r="T7" i="8"/>
  <c r="N7" i="8"/>
  <c r="Z439" i="16"/>
  <c r="AF439" i="16"/>
  <c r="U19" i="28"/>
  <c r="AM36" i="7"/>
  <c r="R19" i="28"/>
  <c r="AL17" i="9"/>
  <c r="AJ17" i="9"/>
  <c r="Z7" i="16"/>
  <c r="K7" i="21"/>
  <c r="N7" i="21"/>
  <c r="AF306" i="16"/>
  <c r="Z306" i="16"/>
  <c r="AK18" i="6"/>
  <c r="AK18" i="7"/>
  <c r="AG18" i="23"/>
  <c r="AG70" i="23"/>
  <c r="Y39" i="16"/>
  <c r="AE39" i="16"/>
  <c r="Z411" i="16"/>
  <c r="AF411" i="16"/>
  <c r="AF359" i="16"/>
  <c r="Z359" i="16"/>
  <c r="N272" i="21"/>
  <c r="K272" i="21"/>
  <c r="Z61" i="16"/>
  <c r="AF61" i="16"/>
  <c r="AO29" i="9"/>
  <c r="AE29" i="9"/>
  <c r="AG29" i="9"/>
  <c r="Z480" i="16"/>
  <c r="AF480" i="16"/>
  <c r="Z12" i="16"/>
  <c r="AF12" i="16"/>
  <c r="AE171" i="17"/>
  <c r="Z171" i="17"/>
  <c r="N351" i="21"/>
  <c r="K351" i="21"/>
  <c r="Z59" i="16"/>
  <c r="K59" i="21"/>
  <c r="N59" i="21"/>
  <c r="AL49" i="8"/>
  <c r="AJ49" i="8"/>
  <c r="N48" i="9"/>
  <c r="T48" i="9"/>
  <c r="AM48" i="9"/>
  <c r="AF16" i="9"/>
  <c r="AP16" i="9"/>
  <c r="AE113" i="17"/>
  <c r="Z113" i="17"/>
  <c r="N438" i="21"/>
  <c r="K438" i="21"/>
  <c r="Z522" i="16"/>
  <c r="AF522" i="16"/>
  <c r="Y149" i="16"/>
  <c r="AE149" i="16"/>
  <c r="AF190" i="16"/>
  <c r="Z190" i="16"/>
  <c r="Z238" i="16"/>
  <c r="AF238" i="16"/>
  <c r="N394" i="21"/>
  <c r="K394" i="21"/>
  <c r="AM29" i="7"/>
  <c r="AE84" i="17"/>
  <c r="Z84" i="17"/>
  <c r="AL9" i="16"/>
  <c r="AK9" i="16"/>
  <c r="AF350" i="16"/>
  <c r="Z350" i="16"/>
  <c r="N358" i="21"/>
  <c r="K358" i="21"/>
  <c r="AF398" i="16"/>
  <c r="N70" i="21"/>
  <c r="K70" i="21"/>
  <c r="AG90" i="23"/>
  <c r="AG38" i="23"/>
  <c r="N13" i="9"/>
  <c r="T13" i="9"/>
  <c r="AM13" i="9"/>
  <c r="AF235" i="16"/>
  <c r="Z64" i="17"/>
  <c r="AE64" i="17"/>
  <c r="AE9" i="21"/>
  <c r="Z32" i="16"/>
  <c r="AF32" i="16"/>
  <c r="Z134" i="16"/>
  <c r="AF134" i="16"/>
  <c r="Z256" i="16"/>
  <c r="AF256" i="16"/>
  <c r="AK48" i="8"/>
  <c r="AK48" i="6"/>
  <c r="AK48" i="7"/>
  <c r="AK48" i="9"/>
  <c r="Z50" i="16"/>
  <c r="AF50" i="16"/>
  <c r="Z36" i="16"/>
  <c r="AF36" i="16"/>
  <c r="Z438" i="16"/>
  <c r="AF438" i="16"/>
  <c r="N472" i="21"/>
  <c r="K472" i="21"/>
  <c r="Z418" i="16"/>
  <c r="AF418" i="16"/>
  <c r="Z394" i="16"/>
  <c r="AF394" i="16"/>
  <c r="AE26" i="17"/>
  <c r="Z26" i="17"/>
  <c r="N468" i="21"/>
  <c r="K468" i="21"/>
  <c r="N493" i="21"/>
  <c r="K493" i="21"/>
  <c r="N352" i="21"/>
  <c r="K352" i="21"/>
  <c r="AF492" i="16"/>
  <c r="AE96" i="17"/>
  <c r="Z96" i="17"/>
  <c r="F49" i="5"/>
  <c r="F48" i="5"/>
  <c r="AM53" i="9"/>
  <c r="AG97" i="23"/>
  <c r="AG45" i="23"/>
  <c r="AB90" i="23"/>
  <c r="AB38" i="23"/>
  <c r="N435" i="21"/>
  <c r="K435" i="21"/>
  <c r="N79" i="23"/>
  <c r="N27" i="23"/>
  <c r="AF329" i="16"/>
  <c r="Z329" i="16"/>
  <c r="N229" i="21"/>
  <c r="K229" i="21"/>
  <c r="AV4" i="16"/>
  <c r="AU4" i="16"/>
  <c r="AF281" i="16"/>
  <c r="Z281" i="16"/>
  <c r="AE3" i="17"/>
  <c r="Z3" i="17"/>
  <c r="AF531" i="16"/>
  <c r="Z531" i="16"/>
  <c r="AK3" i="16"/>
  <c r="AK8" i="16"/>
  <c r="AL8" i="16"/>
  <c r="Z472" i="16"/>
  <c r="AF472" i="16"/>
  <c r="T29" i="7"/>
  <c r="AO29" i="8"/>
  <c r="AE29" i="8"/>
  <c r="AG29" i="8"/>
  <c r="Z399" i="16"/>
  <c r="AF399" i="16"/>
  <c r="AO26" i="9"/>
  <c r="AE26" i="9"/>
  <c r="AG26" i="9"/>
  <c r="Z444" i="16"/>
  <c r="AF444" i="16"/>
  <c r="AF200" i="16"/>
  <c r="Z200" i="16"/>
  <c r="AG61" i="23"/>
  <c r="AG9" i="23"/>
  <c r="AF310" i="16"/>
  <c r="Z310" i="16"/>
  <c r="N28" i="21"/>
  <c r="K28" i="21"/>
  <c r="AE127" i="17"/>
  <c r="Z127" i="17"/>
  <c r="AF225" i="16"/>
  <c r="Z225" i="16"/>
  <c r="Z468" i="16"/>
  <c r="AF468" i="16"/>
  <c r="AE140" i="17"/>
  <c r="Z140" i="17"/>
  <c r="AE41" i="17"/>
  <c r="Z41" i="17"/>
  <c r="AF301" i="16"/>
  <c r="Z301" i="16"/>
  <c r="AK38" i="8"/>
  <c r="AK38" i="6"/>
  <c r="AK38" i="7"/>
  <c r="AK38" i="9"/>
  <c r="Z493" i="16"/>
  <c r="AF493" i="16"/>
  <c r="Z9" i="16"/>
  <c r="AF9" i="16"/>
  <c r="Z257" i="16"/>
  <c r="AF257" i="16"/>
  <c r="AF173" i="16"/>
  <c r="Z173" i="16"/>
  <c r="N27" i="21"/>
  <c r="K27" i="21"/>
  <c r="AE172" i="17"/>
  <c r="Z172" i="17"/>
  <c r="N133" i="21"/>
  <c r="K133" i="21"/>
  <c r="AM21" i="9"/>
  <c r="T21" i="9"/>
  <c r="N21" i="9"/>
  <c r="AP33" i="8"/>
  <c r="AF33" i="8"/>
  <c r="AC33" i="23"/>
  <c r="AC85" i="23"/>
  <c r="M141" i="21"/>
  <c r="J141" i="21"/>
  <c r="Y99" i="16"/>
  <c r="AE99" i="16"/>
  <c r="N396" i="21"/>
  <c r="K396" i="21"/>
  <c r="AE106" i="17"/>
  <c r="Z106" i="17"/>
  <c r="AG27" i="9"/>
  <c r="AE27" i="9"/>
  <c r="AO27" i="9"/>
  <c r="AE131" i="17"/>
  <c r="Z131" i="17"/>
  <c r="N82" i="21"/>
  <c r="K82" i="21"/>
  <c r="AG45" i="9"/>
  <c r="AE45" i="9"/>
  <c r="AO45" i="9"/>
  <c r="AF315" i="16"/>
  <c r="Z315" i="16"/>
  <c r="Z17" i="16"/>
  <c r="AF17" i="16"/>
  <c r="N312" i="21"/>
  <c r="K312" i="21"/>
  <c r="AL46" i="9"/>
  <c r="AJ46" i="9"/>
  <c r="AF8" i="16"/>
  <c r="N99" i="23"/>
  <c r="N47" i="23"/>
  <c r="N441" i="21"/>
  <c r="K441" i="21"/>
  <c r="N93" i="23"/>
  <c r="N41" i="23"/>
  <c r="N89" i="23"/>
  <c r="N37" i="23"/>
  <c r="N194" i="21"/>
  <c r="K194" i="21"/>
  <c r="N393" i="21"/>
  <c r="K393" i="21"/>
  <c r="AG103" i="23"/>
  <c r="AG51" i="23"/>
  <c r="AE116" i="17"/>
  <c r="Z116" i="17"/>
  <c r="AF154" i="16"/>
  <c r="AM25" i="8"/>
  <c r="T25" i="8"/>
  <c r="N25" i="8"/>
  <c r="AL45" i="9"/>
  <c r="AJ45" i="9"/>
  <c r="N458" i="21"/>
  <c r="K458" i="21"/>
  <c r="N402" i="21"/>
  <c r="K402" i="21"/>
  <c r="N56" i="21"/>
  <c r="K56" i="21"/>
  <c r="N53" i="9"/>
  <c r="AP32" i="8"/>
  <c r="AF32" i="8"/>
  <c r="AC32" i="23"/>
  <c r="AC84" i="23"/>
  <c r="M177" i="21"/>
  <c r="J177" i="21"/>
  <c r="AE100" i="17"/>
  <c r="Z100" i="17"/>
  <c r="U14" i="28"/>
  <c r="AM32" i="7"/>
  <c r="R14" i="28"/>
  <c r="AG71" i="23"/>
  <c r="AG19" i="23"/>
  <c r="AG79" i="23"/>
  <c r="AG27" i="23"/>
  <c r="AF482" i="16"/>
  <c r="Z458" i="16"/>
  <c r="AF458" i="16"/>
  <c r="N448" i="21"/>
  <c r="K448" i="21"/>
  <c r="AD25" i="17"/>
  <c r="Y25" i="17"/>
  <c r="Z402" i="16"/>
  <c r="AF402" i="16"/>
  <c r="AM25" i="9"/>
  <c r="T25" i="9"/>
  <c r="N25" i="9"/>
  <c r="AF92" i="23"/>
  <c r="AF40" i="23"/>
  <c r="AE88" i="17"/>
  <c r="Z88" i="17"/>
  <c r="AL49" i="9"/>
  <c r="AJ49" i="9"/>
  <c r="M25" i="21"/>
  <c r="J25" i="21"/>
  <c r="M216" i="21"/>
  <c r="J216" i="21"/>
  <c r="M14" i="21"/>
  <c r="J14" i="21"/>
  <c r="AF113" i="16"/>
  <c r="AG38" i="9"/>
  <c r="AE38" i="9"/>
  <c r="AO38" i="9"/>
  <c r="AF72" i="23"/>
  <c r="AF20" i="23"/>
  <c r="N397" i="21"/>
  <c r="K397" i="21"/>
  <c r="N259" i="21"/>
  <c r="K259" i="21"/>
  <c r="N541" i="21"/>
  <c r="K541" i="21"/>
  <c r="AL27" i="7"/>
  <c r="AB9" i="21"/>
  <c r="AK16" i="7"/>
  <c r="AG16" i="23"/>
  <c r="AG68" i="23"/>
  <c r="AF372" i="16"/>
  <c r="Z372" i="16"/>
  <c r="AF58" i="7"/>
  <c r="AE58" i="7"/>
  <c r="AO8" i="9"/>
  <c r="AE8" i="9"/>
  <c r="AG8" i="9"/>
  <c r="AF110" i="16"/>
  <c r="Z70" i="16"/>
  <c r="AF70" i="16"/>
  <c r="Z78" i="16"/>
  <c r="K78" i="21"/>
  <c r="N78" i="21"/>
  <c r="Z235" i="16"/>
  <c r="K235" i="21"/>
  <c r="N235" i="21"/>
  <c r="AE188" i="16"/>
  <c r="Y188" i="16"/>
  <c r="AK14" i="8"/>
  <c r="AK14" i="9"/>
  <c r="Y10" i="16"/>
  <c r="AE10" i="16"/>
  <c r="Z398" i="16"/>
  <c r="K398" i="21"/>
  <c r="N398" i="21"/>
  <c r="AE208" i="16"/>
  <c r="Y208" i="16"/>
  <c r="AK22" i="8"/>
  <c r="AK22" i="9"/>
  <c r="AO31" i="8"/>
  <c r="AE31" i="8"/>
  <c r="AG31" i="8"/>
  <c r="Y145" i="16"/>
  <c r="AE145" i="16"/>
  <c r="Y148" i="16"/>
  <c r="J148" i="21"/>
  <c r="M148" i="21"/>
  <c r="Z60" i="16"/>
  <c r="AF60" i="16"/>
  <c r="AL35" i="8"/>
  <c r="AJ35" i="8"/>
  <c r="Z492" i="16"/>
  <c r="K492" i="21"/>
  <c r="N492" i="21"/>
  <c r="W13" i="25"/>
  <c r="W7" i="25"/>
  <c r="AF252" i="16"/>
  <c r="AF171" i="16"/>
  <c r="Z171" i="16"/>
  <c r="AF355" i="16"/>
  <c r="Z355" i="16"/>
  <c r="Z467" i="16"/>
  <c r="K467" i="21"/>
  <c r="N467" i="21"/>
  <c r="AE165" i="17"/>
  <c r="Z165" i="17"/>
  <c r="AJ37" i="7"/>
  <c r="AF37" i="23"/>
  <c r="AF89" i="23"/>
  <c r="Z514" i="16"/>
  <c r="K514" i="21"/>
  <c r="N514" i="21"/>
  <c r="Y92" i="16"/>
  <c r="J92" i="21"/>
  <c r="M92" i="21"/>
  <c r="AM9" i="8"/>
  <c r="T9" i="8"/>
  <c r="N9" i="8"/>
  <c r="AJ8" i="7"/>
  <c r="AF8" i="23"/>
  <c r="AF60" i="23"/>
  <c r="AE175" i="17"/>
  <c r="Z175" i="17"/>
  <c r="AF67" i="16"/>
  <c r="AF103" i="23"/>
  <c r="AF51" i="23"/>
  <c r="AL38" i="9"/>
  <c r="AJ38" i="9"/>
  <c r="AF304" i="16"/>
  <c r="Z304" i="16"/>
  <c r="AL48" i="9"/>
  <c r="AJ48" i="9"/>
  <c r="AF36" i="9"/>
  <c r="AP36" i="9"/>
  <c r="AK42" i="9"/>
  <c r="AK42" i="8"/>
  <c r="F8" i="28"/>
  <c r="F7" i="28"/>
  <c r="I8" i="28"/>
  <c r="AM8" i="7"/>
  <c r="I7" i="28"/>
  <c r="AE150" i="17"/>
  <c r="Z150" i="17"/>
  <c r="AF31" i="9"/>
  <c r="AP31" i="9"/>
  <c r="M42" i="21"/>
  <c r="J42" i="21"/>
  <c r="AG46" i="8"/>
  <c r="AL12" i="9"/>
  <c r="AJ12" i="9"/>
  <c r="N336" i="21"/>
  <c r="K336" i="21"/>
  <c r="N159" i="21"/>
  <c r="K159" i="21"/>
  <c r="N523" i="21"/>
  <c r="K523" i="21"/>
  <c r="AO38" i="8"/>
  <c r="AE38" i="8"/>
  <c r="AG38" i="8"/>
  <c r="N434" i="21"/>
  <c r="K434" i="21"/>
  <c r="AF26" i="9"/>
  <c r="AP26" i="9"/>
  <c r="AL47" i="9"/>
  <c r="AJ47" i="9"/>
  <c r="AF379" i="16"/>
  <c r="Z379" i="16"/>
  <c r="N517" i="21"/>
  <c r="K517" i="21"/>
  <c r="AF427" i="16"/>
  <c r="AC79" i="23"/>
  <c r="AP27" i="8"/>
  <c r="AF27" i="8"/>
  <c r="AC27" i="23"/>
  <c r="AF518" i="16"/>
  <c r="AG87" i="23"/>
  <c r="AG35" i="23"/>
  <c r="N72" i="23"/>
  <c r="N20" i="23"/>
  <c r="Z393" i="16"/>
  <c r="AF393" i="16"/>
  <c r="AM39" i="8"/>
  <c r="T39" i="8"/>
  <c r="N39" i="8"/>
  <c r="AF233" i="16"/>
  <c r="AL41" i="7"/>
  <c r="AG53" i="8"/>
  <c r="AE33" i="17"/>
  <c r="Z33" i="17"/>
  <c r="AE135" i="17"/>
  <c r="Z135" i="17"/>
  <c r="N126" i="21"/>
  <c r="K126" i="21"/>
  <c r="N489" i="21"/>
  <c r="K489" i="21"/>
  <c r="AF239" i="16"/>
  <c r="M144" i="21"/>
  <c r="J144" i="21"/>
  <c r="AF15" i="9"/>
  <c r="AP15" i="9"/>
  <c r="AM32" i="8"/>
  <c r="T32" i="8"/>
  <c r="N32" i="8"/>
  <c r="N10" i="9"/>
  <c r="T10" i="9"/>
  <c r="AM10" i="9"/>
  <c r="AK9" i="8"/>
  <c r="AK9" i="7"/>
  <c r="AK9" i="9"/>
  <c r="AM53" i="7"/>
  <c r="D48" i="5"/>
  <c r="D49" i="5"/>
  <c r="Z496" i="16"/>
  <c r="AF496" i="16"/>
  <c r="Z110" i="16"/>
  <c r="K110" i="21"/>
  <c r="N110" i="21"/>
  <c r="Z28" i="16"/>
  <c r="AF28" i="16"/>
  <c r="Z51" i="16"/>
  <c r="AF51" i="16"/>
  <c r="AK14" i="6"/>
  <c r="AK14" i="7"/>
  <c r="AG14" i="23"/>
  <c r="AG66" i="23"/>
  <c r="AO30" i="9"/>
  <c r="AE30" i="9"/>
  <c r="AG30" i="9"/>
  <c r="R30" i="28"/>
  <c r="AM49" i="7"/>
  <c r="U30" i="28"/>
  <c r="AK22" i="6"/>
  <c r="AK22" i="7"/>
  <c r="AG22" i="23"/>
  <c r="AG74" i="23"/>
  <c r="N324" i="21"/>
  <c r="K324" i="21"/>
  <c r="N62" i="23"/>
  <c r="N10" i="23"/>
  <c r="AF287" i="16"/>
  <c r="Z287" i="16"/>
  <c r="Z27" i="16"/>
  <c r="AF27" i="16"/>
  <c r="Z133" i="16"/>
  <c r="AF133" i="16"/>
  <c r="N11" i="8"/>
  <c r="T11" i="8"/>
  <c r="AM11" i="8"/>
  <c r="Z252" i="16"/>
  <c r="K252" i="21"/>
  <c r="N252" i="21"/>
  <c r="AF166" i="16"/>
  <c r="Z166" i="16"/>
  <c r="Y141" i="16"/>
  <c r="AE141" i="16"/>
  <c r="Z234" i="16"/>
  <c r="AF234" i="16"/>
  <c r="Z396" i="16"/>
  <c r="AF396" i="16"/>
  <c r="AE145" i="17"/>
  <c r="Z145" i="17"/>
  <c r="Z154" i="16"/>
  <c r="K154" i="21"/>
  <c r="N154" i="21"/>
  <c r="N345" i="21"/>
  <c r="K345" i="21"/>
  <c r="AO19" i="9"/>
  <c r="AE19" i="9"/>
  <c r="AG19" i="9"/>
  <c r="AE87" i="17"/>
  <c r="Z87" i="17"/>
  <c r="N361" i="21"/>
  <c r="K361" i="21"/>
  <c r="Z518" i="16"/>
  <c r="K518" i="21"/>
  <c r="N518" i="21"/>
  <c r="AF295" i="16"/>
  <c r="Z295" i="16"/>
  <c r="Z67" i="16"/>
  <c r="K67" i="21"/>
  <c r="N67" i="21"/>
  <c r="AE9" i="17"/>
  <c r="Z9" i="17"/>
  <c r="N5" i="9"/>
  <c r="T5" i="9"/>
  <c r="AM5" i="9"/>
  <c r="T53" i="9"/>
  <c r="Z441" i="16"/>
  <c r="AF441" i="16"/>
  <c r="AU8" i="16"/>
  <c r="AV8" i="16"/>
  <c r="N529" i="21"/>
  <c r="K529" i="21"/>
  <c r="AE78" i="17"/>
  <c r="Z78" i="17"/>
  <c r="T53" i="8"/>
  <c r="AM5" i="8"/>
  <c r="T5" i="8"/>
  <c r="N5" i="8"/>
  <c r="N85" i="23"/>
  <c r="N33" i="23"/>
  <c r="AF219" i="16"/>
  <c r="Z219" i="16"/>
  <c r="N37" i="9"/>
  <c r="T37" i="9"/>
  <c r="AM37" i="9"/>
  <c r="AE85" i="17"/>
  <c r="Z85" i="17"/>
  <c r="N138" i="21"/>
  <c r="K138" i="21"/>
  <c r="AM41" i="8"/>
  <c r="T41" i="8"/>
  <c r="N41" i="8"/>
  <c r="AF85" i="23"/>
  <c r="AF33" i="23"/>
  <c r="AJ45" i="7"/>
  <c r="AL45" i="7"/>
  <c r="N263" i="21"/>
  <c r="K263" i="21"/>
  <c r="Z434" i="16"/>
  <c r="AF434" i="16"/>
  <c r="AK45" i="8"/>
  <c r="AK45" i="6"/>
  <c r="AK45" i="7"/>
  <c r="AK45" i="9"/>
  <c r="AF198" i="16"/>
  <c r="Z198" i="16"/>
  <c r="N363" i="21"/>
  <c r="K363" i="21"/>
  <c r="AF53" i="8"/>
  <c r="N69" i="21"/>
  <c r="K69" i="21"/>
  <c r="N71" i="23"/>
  <c r="N19" i="23"/>
  <c r="AE209" i="16"/>
  <c r="Y209" i="16"/>
  <c r="Z427" i="16"/>
  <c r="K427" i="21"/>
  <c r="N427" i="21"/>
  <c r="N447" i="21"/>
  <c r="K447" i="21"/>
  <c r="N292" i="21"/>
  <c r="K292" i="21"/>
  <c r="Z56" i="16"/>
  <c r="AF56" i="16"/>
  <c r="Z233" i="16"/>
  <c r="K233" i="21"/>
  <c r="N233" i="21"/>
  <c r="AB71" i="23"/>
  <c r="AB19" i="23"/>
  <c r="AF414" i="16"/>
  <c r="AF313" i="16"/>
  <c r="Z313" i="16"/>
  <c r="N86" i="23"/>
  <c r="N34" i="23"/>
  <c r="AF69" i="23"/>
  <c r="AF17" i="23"/>
  <c r="AE63" i="17"/>
  <c r="Z63" i="17"/>
  <c r="AE5" i="17"/>
  <c r="Z5" i="17"/>
  <c r="AL10" i="7"/>
  <c r="N304" i="21"/>
  <c r="K304" i="21"/>
  <c r="AE115" i="17"/>
  <c r="Z115" i="17"/>
  <c r="AF68" i="16"/>
  <c r="AL12" i="8"/>
  <c r="AJ12" i="8"/>
  <c r="AG35" i="8"/>
  <c r="N76" i="21"/>
  <c r="K76" i="21"/>
  <c r="AL29" i="9"/>
  <c r="AJ29" i="9"/>
  <c r="AF349" i="16"/>
  <c r="Z349" i="16"/>
  <c r="AE11" i="16"/>
  <c r="AF339" i="16"/>
  <c r="Z339" i="16"/>
  <c r="AF5" i="16"/>
  <c r="N68" i="23"/>
  <c r="N16" i="23"/>
  <c r="AG48" i="8"/>
  <c r="N98" i="23"/>
  <c r="N46" i="23"/>
  <c r="AB62" i="23"/>
  <c r="AB10" i="23"/>
  <c r="N547" i="21"/>
  <c r="K547" i="21"/>
  <c r="N503" i="21"/>
  <c r="K503" i="21"/>
  <c r="AF548" i="16"/>
  <c r="AC74" i="23"/>
  <c r="AC22" i="23"/>
  <c r="AF22" i="8"/>
  <c r="AP22" i="8"/>
  <c r="AF14" i="9"/>
  <c r="AP14" i="9"/>
  <c r="AF348" i="16"/>
  <c r="Z348" i="16"/>
  <c r="AE94" i="17"/>
  <c r="Z94" i="17"/>
  <c r="AG9" i="9"/>
  <c r="AE9" i="9"/>
  <c r="AO9" i="9"/>
  <c r="N283" i="21"/>
  <c r="K283" i="21"/>
  <c r="V11" i="25"/>
  <c r="AF365" i="16"/>
  <c r="Z365" i="16"/>
  <c r="N338" i="21"/>
  <c r="K338" i="21"/>
  <c r="N470" i="21"/>
  <c r="K470" i="21"/>
  <c r="N206" i="21"/>
  <c r="K206" i="21"/>
  <c r="M213" i="21"/>
  <c r="J213" i="21"/>
  <c r="N386" i="21"/>
  <c r="K386" i="21"/>
  <c r="AE184" i="17"/>
  <c r="Z184" i="17"/>
  <c r="AB95" i="23"/>
  <c r="AB43" i="23"/>
  <c r="N471" i="21"/>
  <c r="K471" i="21"/>
  <c r="AK25" i="9"/>
  <c r="AK25" i="8"/>
  <c r="M8" i="21"/>
  <c r="J8" i="21"/>
  <c r="AL44" i="8"/>
  <c r="AJ44" i="8"/>
  <c r="AF35" i="9"/>
  <c r="AP35" i="9"/>
  <c r="AF168" i="16"/>
  <c r="Z168" i="16"/>
  <c r="AC96" i="23"/>
  <c r="AP44" i="8"/>
  <c r="AF44" i="8"/>
  <c r="AC44" i="23"/>
  <c r="AF65" i="23"/>
  <c r="AF13" i="23"/>
  <c r="Z159" i="16"/>
  <c r="AF159" i="16"/>
  <c r="N309" i="21"/>
  <c r="K309" i="21"/>
  <c r="N534" i="21"/>
  <c r="K534" i="21"/>
  <c r="AE187" i="16"/>
  <c r="Y187" i="16"/>
  <c r="AE119" i="17"/>
  <c r="Z119" i="17"/>
  <c r="M89" i="21"/>
  <c r="J89" i="21"/>
  <c r="R8" i="28"/>
  <c r="AM25" i="7"/>
  <c r="U8" i="28"/>
  <c r="U23" i="28"/>
  <c r="AM39" i="7"/>
  <c r="R23" i="28"/>
  <c r="AE151" i="16"/>
  <c r="AF400" i="16"/>
  <c r="AG12" i="21"/>
  <c r="Y12" i="21"/>
  <c r="S12" i="21"/>
  <c r="AF59" i="23"/>
  <c r="AF7" i="23"/>
  <c r="N451" i="21"/>
  <c r="K451" i="21"/>
  <c r="AL40" i="9"/>
  <c r="AJ40" i="9"/>
  <c r="M46" i="21"/>
  <c r="J46" i="21"/>
  <c r="AG7" i="21"/>
  <c r="Y7" i="21"/>
  <c r="K2" i="21"/>
  <c r="S7" i="21"/>
  <c r="N318" i="21"/>
  <c r="K318" i="21"/>
  <c r="AB66" i="23"/>
  <c r="AB14" i="23"/>
  <c r="N319" i="21"/>
  <c r="K319" i="21"/>
  <c r="M40" i="21"/>
  <c r="J40" i="21"/>
  <c r="N403" i="21"/>
  <c r="K403" i="21"/>
  <c r="M85" i="21"/>
  <c r="J85" i="21"/>
  <c r="R13" i="28"/>
  <c r="AM31" i="7"/>
  <c r="U13" i="28"/>
  <c r="U18" i="28"/>
  <c r="AM35" i="7"/>
  <c r="R18" i="28"/>
  <c r="AG53" i="9"/>
  <c r="AF88" i="23"/>
  <c r="AF36" i="23"/>
  <c r="N410" i="21"/>
  <c r="K410" i="21"/>
  <c r="M96" i="21"/>
  <c r="J96" i="21"/>
  <c r="N274" i="21"/>
  <c r="K274" i="21"/>
  <c r="N153" i="21"/>
  <c r="K153" i="21"/>
  <c r="AF272" i="16"/>
  <c r="Z272" i="16"/>
  <c r="AC77" i="23"/>
  <c r="AP25" i="8"/>
  <c r="AF25" i="8"/>
  <c r="AC25" i="23"/>
  <c r="AE161" i="17"/>
  <c r="Z161" i="17"/>
  <c r="AG42" i="8"/>
  <c r="AM9" i="9"/>
  <c r="T9" i="9"/>
  <c r="N9" i="9"/>
  <c r="N268" i="21"/>
  <c r="K268" i="21"/>
  <c r="AK36" i="9"/>
  <c r="AK36" i="8"/>
  <c r="R11" i="25"/>
  <c r="Q35" i="28"/>
  <c r="AM16" i="7"/>
  <c r="T35" i="28"/>
  <c r="M84" i="21"/>
  <c r="J84" i="21"/>
  <c r="N431" i="21"/>
  <c r="K431" i="21"/>
  <c r="N23" i="21"/>
  <c r="K23" i="21"/>
  <c r="AL53" i="7"/>
  <c r="AF191" i="16"/>
  <c r="Z191" i="16"/>
  <c r="AJ12" i="21"/>
  <c r="K537" i="21"/>
  <c r="N537" i="21"/>
  <c r="V12" i="21"/>
  <c r="AB91" i="23"/>
  <c r="AB39" i="23"/>
  <c r="U10" i="28"/>
  <c r="AM26" i="7"/>
  <c r="R10" i="28"/>
  <c r="N453" i="21"/>
  <c r="K453" i="21"/>
  <c r="AE100" i="16"/>
  <c r="AL36" i="9"/>
  <c r="AJ36" i="9"/>
  <c r="AF42" i="9"/>
  <c r="AP42" i="9"/>
  <c r="AE212" i="16"/>
  <c r="Y212" i="16"/>
  <c r="AD18" i="17"/>
  <c r="Y18" i="17"/>
  <c r="AE7" i="17"/>
  <c r="Z7" i="17"/>
  <c r="N384" i="21"/>
  <c r="K384" i="21"/>
  <c r="AF266" i="16"/>
  <c r="Z266" i="16"/>
  <c r="AE88" i="16"/>
  <c r="AG82" i="23"/>
  <c r="AG30" i="23"/>
  <c r="AL29" i="8"/>
  <c r="AJ29" i="8"/>
  <c r="AE136" i="17"/>
  <c r="Z136" i="17"/>
  <c r="AG41" i="8"/>
  <c r="AB78" i="23"/>
  <c r="AB26" i="23"/>
  <c r="AM14" i="9"/>
  <c r="T14" i="9"/>
  <c r="N14" i="9"/>
  <c r="M207" i="21"/>
  <c r="J207" i="21"/>
  <c r="N196" i="21"/>
  <c r="K196" i="21"/>
  <c r="AL18" i="7"/>
  <c r="N405" i="21"/>
  <c r="K405" i="21"/>
  <c r="AG93" i="23"/>
  <c r="AG41" i="23"/>
  <c r="AC65" i="23"/>
  <c r="AC13" i="23"/>
  <c r="AF13" i="8"/>
  <c r="AP13" i="8"/>
  <c r="N476" i="21"/>
  <c r="K476" i="21"/>
  <c r="AM17" i="9"/>
  <c r="T17" i="9"/>
  <c r="N17" i="9"/>
  <c r="N121" i="21"/>
  <c r="K121" i="21"/>
  <c r="AL43" i="8"/>
  <c r="AJ43" i="8"/>
  <c r="AE92" i="17"/>
  <c r="Z92" i="17"/>
  <c r="AE75" i="17"/>
  <c r="Z75" i="17"/>
  <c r="N264" i="21"/>
  <c r="K264" i="21"/>
  <c r="AE13" i="17"/>
  <c r="Z13" i="17"/>
  <c r="AJ5" i="17"/>
  <c r="AD44" i="17"/>
  <c r="Y44" i="17"/>
  <c r="AF303" i="16"/>
  <c r="Z303" i="16"/>
  <c r="AE202" i="17"/>
  <c r="Z202" i="17"/>
  <c r="AC75" i="23"/>
  <c r="AC23" i="23"/>
  <c r="AF23" i="8"/>
  <c r="AP23" i="8"/>
  <c r="N265" i="21"/>
  <c r="K265" i="21"/>
  <c r="AM46" i="9"/>
  <c r="T46" i="9"/>
  <c r="N46" i="9"/>
  <c r="AF277" i="16"/>
  <c r="Z277" i="16"/>
  <c r="AM6" i="9"/>
  <c r="T6" i="9"/>
  <c r="N6" i="9"/>
  <c r="M146" i="21"/>
  <c r="J146" i="21"/>
  <c r="AM24" i="9"/>
  <c r="T24" i="9"/>
  <c r="N24" i="9"/>
  <c r="M9" i="21"/>
  <c r="J9" i="21"/>
  <c r="AF280" i="16"/>
  <c r="Z280" i="16"/>
  <c r="AG9" i="8"/>
  <c r="AF368" i="16"/>
  <c r="Z368" i="16"/>
  <c r="AK27" i="9"/>
  <c r="AK27" i="6"/>
  <c r="AK27" i="7"/>
  <c r="AK27" i="8"/>
  <c r="S14" i="25"/>
  <c r="S9" i="25"/>
  <c r="S15" i="25"/>
  <c r="Y42" i="16"/>
  <c r="AE42" i="16"/>
  <c r="AO46" i="8"/>
  <c r="AE46" i="8"/>
  <c r="AB46" i="23"/>
  <c r="AB98" i="23"/>
  <c r="Z5" i="16"/>
  <c r="K5" i="21"/>
  <c r="N5" i="21"/>
  <c r="AO46" i="9"/>
  <c r="AE46" i="9"/>
  <c r="AG46" i="9"/>
  <c r="N346" i="21"/>
  <c r="K346" i="21"/>
  <c r="Y11" i="16"/>
  <c r="J11" i="21"/>
  <c r="M11" i="21"/>
  <c r="D7" i="25"/>
  <c r="D13" i="25"/>
  <c r="AP50" i="8"/>
  <c r="AF50" i="8"/>
  <c r="AC50" i="23"/>
  <c r="AC102" i="23"/>
  <c r="AF122" i="16"/>
  <c r="Z523" i="16"/>
  <c r="AF523" i="16"/>
  <c r="AF428" i="16"/>
  <c r="Z71" i="16"/>
  <c r="AF71" i="16"/>
  <c r="N348" i="21"/>
  <c r="K348" i="21"/>
  <c r="Y90" i="16"/>
  <c r="AE90" i="16"/>
  <c r="AF278" i="16"/>
  <c r="Z278" i="16"/>
  <c r="AE159" i="17"/>
  <c r="Z159" i="17"/>
  <c r="E15" i="28"/>
  <c r="AM9" i="7"/>
  <c r="H15" i="28"/>
  <c r="N221" i="21"/>
  <c r="K221" i="21"/>
  <c r="AF20" i="9"/>
  <c r="AP20" i="9"/>
  <c r="N298" i="21"/>
  <c r="K298" i="21"/>
  <c r="AL31" i="9"/>
  <c r="AJ31" i="9"/>
  <c r="N51" i="23"/>
  <c r="N103" i="23"/>
  <c r="Z517" i="16"/>
  <c r="AF517" i="16"/>
  <c r="N53" i="8"/>
  <c r="AO11" i="9"/>
  <c r="AE11" i="9"/>
  <c r="AG11" i="9"/>
  <c r="AE122" i="17"/>
  <c r="Z122" i="17"/>
  <c r="AO8" i="8"/>
  <c r="AE8" i="8"/>
  <c r="AG8" i="8"/>
  <c r="Z447" i="16"/>
  <c r="AF447" i="16"/>
  <c r="R5" i="28"/>
  <c r="AM17" i="7"/>
  <c r="U5" i="28"/>
  <c r="Z482" i="16"/>
  <c r="K482" i="21"/>
  <c r="N482" i="21"/>
  <c r="AK35" i="9"/>
  <c r="AK35" i="6"/>
  <c r="AK35" i="7"/>
  <c r="AK35" i="8"/>
  <c r="AF224" i="16"/>
  <c r="Z224" i="16"/>
  <c r="N195" i="21"/>
  <c r="K195" i="21"/>
  <c r="N51" i="8"/>
  <c r="T51" i="8"/>
  <c r="AM51" i="8"/>
  <c r="AF526" i="16"/>
  <c r="Z526" i="16"/>
  <c r="AJ41" i="7"/>
  <c r="AF41" i="23"/>
  <c r="AF93" i="23"/>
  <c r="Z414" i="16"/>
  <c r="K414" i="21"/>
  <c r="N414" i="21"/>
  <c r="Z69" i="16"/>
  <c r="AF69" i="16"/>
  <c r="AO35" i="8"/>
  <c r="AE35" i="8"/>
  <c r="AB35" i="23"/>
  <c r="AB87" i="23"/>
  <c r="AE170" i="17"/>
  <c r="Z170" i="17"/>
  <c r="AE40" i="17"/>
  <c r="Z40" i="17"/>
  <c r="AF268" i="16"/>
  <c r="Z268" i="16"/>
  <c r="N92" i="23"/>
  <c r="N40" i="23"/>
  <c r="AF356" i="16"/>
  <c r="Z356" i="16"/>
  <c r="N22" i="23"/>
  <c r="N74" i="23"/>
  <c r="Z520" i="16"/>
  <c r="AF520" i="16"/>
  <c r="AK19" i="8"/>
  <c r="AK19" i="6"/>
  <c r="AK19" i="7"/>
  <c r="AK19" i="9"/>
  <c r="Z82" i="16"/>
  <c r="AF82" i="16"/>
  <c r="AE198" i="17"/>
  <c r="Z198" i="17"/>
  <c r="AE107" i="17"/>
  <c r="Z107" i="17"/>
  <c r="Y25" i="16"/>
  <c r="AE25" i="16"/>
  <c r="AO19" i="8"/>
  <c r="AE19" i="8"/>
  <c r="AG19" i="8"/>
  <c r="N78" i="23"/>
  <c r="N26" i="23"/>
  <c r="AE97" i="17"/>
  <c r="Z97" i="17"/>
  <c r="Y144" i="16"/>
  <c r="AE144" i="16"/>
  <c r="AE196" i="17"/>
  <c r="Z196" i="17"/>
  <c r="N323" i="21"/>
  <c r="K323" i="21"/>
  <c r="AD50" i="17"/>
  <c r="Y50" i="17"/>
  <c r="N320" i="21"/>
  <c r="K320" i="21"/>
  <c r="AF227" i="16"/>
  <c r="AU3" i="16"/>
  <c r="AV3" i="16"/>
  <c r="Z138" i="16"/>
  <c r="AF138" i="16"/>
  <c r="Z113" i="16"/>
  <c r="K113" i="21"/>
  <c r="N113" i="21"/>
  <c r="AG78" i="23"/>
  <c r="AG26" i="23"/>
  <c r="AE130" i="17"/>
  <c r="Z130" i="17"/>
  <c r="S10" i="21"/>
  <c r="Y10" i="21"/>
  <c r="AG10" i="21"/>
  <c r="AO48" i="8"/>
  <c r="AE48" i="8"/>
  <c r="AB48" i="23"/>
  <c r="AB100" i="23"/>
  <c r="Y8" i="16"/>
  <c r="AE8" i="16"/>
  <c r="AJ44" i="7"/>
  <c r="AL44" i="7"/>
  <c r="AE4" i="16"/>
  <c r="AF336" i="16"/>
  <c r="Z336" i="16"/>
  <c r="N87" i="23"/>
  <c r="N35" i="23"/>
  <c r="AF323" i="16"/>
  <c r="Z323" i="16"/>
  <c r="AF217" i="16"/>
  <c r="Z217" i="16"/>
  <c r="AJ27" i="7"/>
  <c r="AJ27" i="8"/>
  <c r="AL27" i="8"/>
  <c r="N353" i="21"/>
  <c r="K353" i="21"/>
  <c r="N77" i="23"/>
  <c r="N25" i="23"/>
  <c r="AF508" i="16"/>
  <c r="U6" i="28"/>
  <c r="AM18" i="7"/>
  <c r="R6" i="28"/>
  <c r="AL5" i="8"/>
  <c r="AJ5" i="8"/>
  <c r="AJ53" i="8"/>
  <c r="N42" i="8"/>
  <c r="T42" i="8"/>
  <c r="AM42" i="8"/>
  <c r="AE180" i="16"/>
  <c r="Y180" i="16"/>
  <c r="AK51" i="8"/>
  <c r="AK51" i="6"/>
  <c r="AK51" i="7"/>
  <c r="AK51" i="9"/>
  <c r="AE91" i="17"/>
  <c r="Z91" i="17"/>
  <c r="N54" i="21"/>
  <c r="K54" i="21"/>
  <c r="Z428" i="16"/>
  <c r="K428" i="21"/>
  <c r="N428" i="21"/>
  <c r="AE118" i="17"/>
  <c r="Z118" i="17"/>
  <c r="AF13" i="9"/>
  <c r="AP13" i="9"/>
  <c r="N357" i="21"/>
  <c r="K357" i="21"/>
  <c r="AP14" i="8"/>
  <c r="AF14" i="8"/>
  <c r="AC14" i="23"/>
  <c r="AC66" i="23"/>
  <c r="AL39" i="8"/>
  <c r="AJ39" i="8"/>
  <c r="AK42" i="6"/>
  <c r="AK42" i="7"/>
  <c r="AG42" i="23"/>
  <c r="AG94" i="23"/>
  <c r="AP39" i="8"/>
  <c r="AF39" i="8"/>
  <c r="AC39" i="23"/>
  <c r="AC91" i="23"/>
  <c r="AP47" i="8"/>
  <c r="AF47" i="8"/>
  <c r="AC47" i="23"/>
  <c r="AC99" i="23"/>
  <c r="N293" i="21"/>
  <c r="K293" i="21"/>
  <c r="Z508" i="16"/>
  <c r="K508" i="21"/>
  <c r="N508" i="21"/>
  <c r="N72" i="21"/>
  <c r="K72" i="21"/>
  <c r="AF5" i="23"/>
  <c r="AF57" i="23"/>
  <c r="V7" i="25"/>
  <c r="V13" i="25"/>
  <c r="N63" i="23"/>
  <c r="N11" i="23"/>
  <c r="AF381" i="16"/>
  <c r="Z381" i="16"/>
  <c r="N497" i="21"/>
  <c r="K497" i="21"/>
  <c r="M187" i="21"/>
  <c r="J187" i="21"/>
  <c r="AE95" i="17"/>
  <c r="Z95" i="17"/>
  <c r="N70" i="23"/>
  <c r="N18" i="23"/>
  <c r="AF334" i="16"/>
  <c r="Z334" i="16"/>
  <c r="Z122" i="16"/>
  <c r="K122" i="21"/>
  <c r="N122" i="21"/>
  <c r="N67" i="23"/>
  <c r="N15" i="23"/>
  <c r="N11" i="9"/>
  <c r="T11" i="9"/>
  <c r="AM11" i="9"/>
  <c r="AL9" i="9"/>
  <c r="AJ9" i="9"/>
  <c r="AF511" i="16"/>
  <c r="AK15" i="9"/>
  <c r="AK15" i="8"/>
  <c r="AO41" i="8"/>
  <c r="AE41" i="8"/>
  <c r="AB41" i="23"/>
  <c r="AB93" i="23"/>
  <c r="M95" i="21"/>
  <c r="J95" i="21"/>
  <c r="Y100" i="16"/>
  <c r="J100" i="21"/>
  <c r="M100" i="21"/>
  <c r="Y85" i="16"/>
  <c r="AE85" i="16"/>
  <c r="AE162" i="17"/>
  <c r="Z162" i="17"/>
  <c r="N327" i="21"/>
  <c r="K327" i="21"/>
  <c r="AF15" i="16"/>
  <c r="AM15" i="8"/>
  <c r="T15" i="8"/>
  <c r="N15" i="8"/>
  <c r="N367" i="21"/>
  <c r="K367" i="21"/>
  <c r="AG15" i="9"/>
  <c r="AE15" i="9"/>
  <c r="AO15" i="9"/>
  <c r="Z15" i="16"/>
  <c r="K15" i="21"/>
  <c r="N15" i="21"/>
  <c r="AF91" i="23"/>
  <c r="AF39" i="23"/>
  <c r="AF369" i="16"/>
  <c r="Z369" i="16"/>
  <c r="AF528" i="16"/>
  <c r="Z528" i="16"/>
  <c r="N509" i="21"/>
  <c r="K509" i="21"/>
  <c r="AE183" i="16"/>
  <c r="Y183" i="16"/>
  <c r="AO50" i="9"/>
  <c r="AE50" i="9"/>
  <c r="AG50" i="9"/>
  <c r="N9" i="23"/>
  <c r="N61" i="23"/>
  <c r="AF21" i="16"/>
  <c r="AF267" i="16"/>
  <c r="Z267" i="16"/>
  <c r="AL9" i="8"/>
  <c r="AJ9" i="8"/>
  <c r="AF64" i="23"/>
  <c r="AF12" i="23"/>
  <c r="N224" i="21"/>
  <c r="K224" i="21"/>
  <c r="N381" i="21"/>
  <c r="K381" i="21"/>
  <c r="N335" i="21"/>
  <c r="K335" i="21"/>
  <c r="AF37" i="9"/>
  <c r="AP37" i="9"/>
  <c r="N77" i="21"/>
  <c r="K77" i="21"/>
  <c r="AF226" i="16"/>
  <c r="Z226" i="16"/>
  <c r="AJ9" i="21"/>
  <c r="V9" i="21"/>
  <c r="N227" i="21"/>
  <c r="AL46" i="7"/>
  <c r="AB10" i="21"/>
  <c r="N46" i="8"/>
  <c r="T46" i="8"/>
  <c r="AM46" i="8"/>
  <c r="N37" i="8"/>
  <c r="T37" i="8"/>
  <c r="AM37" i="8"/>
  <c r="AG85" i="23"/>
  <c r="AG33" i="23"/>
  <c r="AK15" i="7"/>
  <c r="AG15" i="23"/>
  <c r="AG67" i="23"/>
  <c r="AE123" i="17"/>
  <c r="Z123" i="17"/>
  <c r="W14" i="25"/>
  <c r="W9" i="25"/>
  <c r="W15" i="25"/>
  <c r="AF58" i="23"/>
  <c r="AF6" i="23"/>
  <c r="AM43" i="7"/>
  <c r="AF404" i="16"/>
  <c r="AE98" i="17"/>
  <c r="Z98" i="17"/>
  <c r="AF337" i="16"/>
  <c r="Z337" i="16"/>
  <c r="AF118" i="16"/>
  <c r="AM14" i="8"/>
  <c r="T14" i="8"/>
  <c r="N14" i="8"/>
  <c r="N276" i="21"/>
  <c r="K276" i="21"/>
  <c r="AJ53" i="9"/>
  <c r="AL5" i="9"/>
  <c r="AJ5" i="9"/>
  <c r="N301" i="21"/>
  <c r="K301" i="21"/>
  <c r="AK13" i="8"/>
  <c r="AK13" i="9"/>
  <c r="N375" i="21"/>
  <c r="K375" i="21"/>
  <c r="AD48" i="17"/>
  <c r="Y48" i="17"/>
  <c r="N219" i="21"/>
  <c r="K219" i="21"/>
  <c r="AF357" i="16"/>
  <c r="Z357" i="16"/>
  <c r="AF25" i="9"/>
  <c r="AP25" i="9"/>
  <c r="N158" i="21"/>
  <c r="K158" i="21"/>
  <c r="M181" i="21"/>
  <c r="J181" i="21"/>
  <c r="N491" i="21"/>
  <c r="K491" i="21"/>
  <c r="AE160" i="17"/>
  <c r="Z160" i="17"/>
  <c r="AE89" i="17"/>
  <c r="Z89" i="17"/>
  <c r="N18" i="21"/>
  <c r="K18" i="21"/>
  <c r="N167" i="21"/>
  <c r="K167" i="21"/>
  <c r="AM38" i="9"/>
  <c r="T38" i="9"/>
  <c r="N38" i="9"/>
  <c r="N302" i="21"/>
  <c r="K302" i="21"/>
  <c r="AC97" i="23"/>
  <c r="AC45" i="23"/>
  <c r="AF45" i="8"/>
  <c r="AP45" i="8"/>
  <c r="M5" i="21"/>
  <c r="J5" i="21"/>
  <c r="M86" i="21"/>
  <c r="J86" i="21"/>
  <c r="AF325" i="16"/>
  <c r="Z325" i="16"/>
  <c r="N22" i="21"/>
  <c r="K22" i="21"/>
  <c r="AL48" i="7"/>
  <c r="N469" i="21"/>
  <c r="K469" i="21"/>
  <c r="N440" i="21"/>
  <c r="K440" i="21"/>
  <c r="AL24" i="7"/>
  <c r="M186" i="21"/>
  <c r="J186" i="21"/>
  <c r="AF205" i="16"/>
  <c r="Z205" i="16"/>
  <c r="AG9" i="21"/>
  <c r="Y9" i="21"/>
  <c r="K227" i="21"/>
  <c r="S9" i="21"/>
  <c r="N532" i="21"/>
  <c r="K532" i="21"/>
  <c r="N47" i="8"/>
  <c r="T47" i="8"/>
  <c r="AM47" i="8"/>
  <c r="N205" i="21"/>
  <c r="K205" i="21"/>
  <c r="N190" i="21"/>
  <c r="K190" i="21"/>
  <c r="N528" i="21"/>
  <c r="K528" i="21"/>
  <c r="AK26" i="8"/>
  <c r="AK26" i="6"/>
  <c r="AK26" i="7"/>
  <c r="AK26" i="9"/>
  <c r="Z229" i="16"/>
  <c r="AF229" i="16"/>
  <c r="AE173" i="17"/>
  <c r="Z173" i="17"/>
  <c r="AJ40" i="7"/>
  <c r="AL40" i="7"/>
  <c r="Z76" i="16"/>
  <c r="AF76" i="16"/>
  <c r="AL17" i="7"/>
  <c r="Z126" i="16"/>
  <c r="AF126" i="16"/>
  <c r="N10" i="8"/>
  <c r="T10" i="8"/>
  <c r="AM10" i="8"/>
  <c r="AF282" i="16"/>
  <c r="Z282" i="16"/>
  <c r="AO49" i="9"/>
  <c r="AE49" i="9"/>
  <c r="AG49" i="9"/>
  <c r="AJ49" i="7"/>
  <c r="AL49" i="7"/>
  <c r="Z240" i="16"/>
  <c r="K240" i="21"/>
  <c r="N240" i="21"/>
  <c r="N58" i="23"/>
  <c r="N6" i="23"/>
  <c r="AF298" i="16"/>
  <c r="Z298" i="16"/>
  <c r="Z489" i="16"/>
  <c r="AF489" i="16"/>
  <c r="Z239" i="16"/>
  <c r="K239" i="21"/>
  <c r="N239" i="21"/>
  <c r="AJ10" i="7"/>
  <c r="AF10" i="23"/>
  <c r="AF62" i="23"/>
  <c r="Z8" i="16"/>
  <c r="K8" i="21"/>
  <c r="N8" i="21"/>
  <c r="Z435" i="16"/>
  <c r="AF435" i="16"/>
  <c r="AF308" i="16"/>
  <c r="Z308" i="16"/>
  <c r="AP38" i="8"/>
  <c r="AF38" i="8"/>
  <c r="AC38" i="23"/>
  <c r="AC90" i="23"/>
  <c r="N343" i="21"/>
  <c r="K343" i="21"/>
  <c r="AE187" i="17"/>
  <c r="Z187" i="17"/>
  <c r="Y14" i="16"/>
  <c r="AE14" i="16"/>
  <c r="AF525" i="16"/>
  <c r="Z525" i="16"/>
  <c r="Z68" i="16"/>
  <c r="K68" i="21"/>
  <c r="N68" i="21"/>
  <c r="AO42" i="8"/>
  <c r="AE42" i="8"/>
  <c r="AB42" i="23"/>
  <c r="AB94" i="23"/>
  <c r="AF340" i="16"/>
  <c r="Z340" i="16"/>
  <c r="AE53" i="8"/>
  <c r="AG5" i="8"/>
  <c r="AK25" i="6"/>
  <c r="AK25" i="7"/>
  <c r="AG25" i="23"/>
  <c r="AG77" i="23"/>
  <c r="AU2" i="16"/>
  <c r="AV2" i="16"/>
  <c r="AO10" i="8"/>
  <c r="AE10" i="8"/>
  <c r="AG10" i="8"/>
  <c r="AE150" i="16"/>
  <c r="Y46" i="16"/>
  <c r="AE46" i="16"/>
  <c r="Z547" i="16"/>
  <c r="AF547" i="16"/>
  <c r="K332" i="21"/>
  <c r="N332" i="21"/>
  <c r="V10" i="21"/>
  <c r="AJ10" i="21"/>
  <c r="Y150" i="16"/>
  <c r="J150" i="21"/>
  <c r="M150" i="21"/>
  <c r="Y4" i="16"/>
  <c r="J4" i="21"/>
  <c r="M4" i="21"/>
  <c r="N371" i="21"/>
  <c r="K371" i="21"/>
  <c r="AK36" i="6"/>
  <c r="AK36" i="7"/>
  <c r="AG36" i="23"/>
  <c r="AG88" i="23"/>
  <c r="AK30" i="9"/>
  <c r="AK30" i="6"/>
  <c r="AK30" i="7"/>
  <c r="AK30" i="8"/>
  <c r="AO14" i="8"/>
  <c r="AE14" i="8"/>
  <c r="AG14" i="8"/>
  <c r="Z548" i="16"/>
  <c r="K548" i="21"/>
  <c r="N548" i="21"/>
  <c r="R15" i="25"/>
  <c r="AO5" i="8"/>
  <c r="AE5" i="8"/>
  <c r="AB5" i="23"/>
  <c r="AB57" i="23"/>
  <c r="R9" i="25"/>
  <c r="R14" i="25"/>
  <c r="T35" i="7"/>
  <c r="AO35" i="9"/>
  <c r="AE35" i="9"/>
  <c r="AG35" i="9"/>
  <c r="AE167" i="17"/>
  <c r="Z167" i="17"/>
  <c r="AP43" i="9"/>
  <c r="AF43" i="9"/>
  <c r="AK33" i="8"/>
  <c r="AK33" i="6"/>
  <c r="AK33" i="7"/>
  <c r="AK33" i="9"/>
  <c r="N383" i="21"/>
  <c r="K383" i="21"/>
  <c r="AF33" i="9"/>
  <c r="AP33" i="9"/>
  <c r="Z397" i="16"/>
  <c r="AF397" i="16"/>
  <c r="R20" i="28"/>
  <c r="U15" i="28"/>
  <c r="R25" i="28"/>
  <c r="U20" i="28"/>
  <c r="U25" i="28"/>
  <c r="T42" i="7"/>
  <c r="AM42" i="7"/>
  <c r="R15" i="28"/>
  <c r="N155" i="21"/>
  <c r="K155" i="21"/>
  <c r="Y84" i="16"/>
  <c r="AE84" i="16"/>
  <c r="N119" i="21"/>
  <c r="K119" i="21"/>
  <c r="Z431" i="16"/>
  <c r="AF431" i="16"/>
  <c r="AJ5" i="7"/>
  <c r="AL5" i="7"/>
  <c r="Z23" i="16"/>
  <c r="AF23" i="16"/>
  <c r="AL13" i="8"/>
  <c r="AJ13" i="8"/>
  <c r="N50" i="8"/>
  <c r="T50" i="8"/>
  <c r="AM50" i="8"/>
  <c r="Z503" i="16"/>
  <c r="AF503" i="16"/>
  <c r="N322" i="21"/>
  <c r="K322" i="21"/>
  <c r="N44" i="23"/>
  <c r="N96" i="23"/>
  <c r="Z541" i="16"/>
  <c r="AF541" i="16"/>
  <c r="R24" i="28"/>
  <c r="AM40" i="7"/>
  <c r="U24" i="28"/>
  <c r="AE30" i="17"/>
  <c r="Z30" i="17"/>
  <c r="Z400" i="16"/>
  <c r="K400" i="21"/>
  <c r="N400" i="21"/>
  <c r="R12" i="28"/>
  <c r="AM30" i="7"/>
  <c r="U12" i="28"/>
  <c r="Z54" i="16"/>
  <c r="AF54" i="16"/>
  <c r="AD52" i="17"/>
  <c r="Y52" i="17"/>
  <c r="Y151" i="16"/>
  <c r="J151" i="21"/>
  <c r="M151" i="21"/>
  <c r="AO39" i="8"/>
  <c r="AE39" i="8"/>
  <c r="AG39" i="8"/>
  <c r="N370" i="21"/>
  <c r="K370" i="21"/>
  <c r="Z155" i="16"/>
  <c r="AF155" i="16"/>
  <c r="Z119" i="16"/>
  <c r="AF119" i="16"/>
  <c r="Z453" i="16"/>
  <c r="AF453" i="16"/>
  <c r="N278" i="21"/>
  <c r="K278" i="21"/>
  <c r="R33" i="28"/>
  <c r="AM51" i="7"/>
  <c r="U33" i="28"/>
  <c r="AF223" i="16"/>
  <c r="Z223" i="16"/>
  <c r="Z511" i="16"/>
  <c r="K511" i="21"/>
  <c r="N511" i="21"/>
  <c r="Z451" i="16"/>
  <c r="AF451" i="16"/>
  <c r="AJ36" i="7"/>
  <c r="AL36" i="7"/>
  <c r="Z470" i="16"/>
  <c r="AF470" i="16"/>
  <c r="Z410" i="16"/>
  <c r="AF410" i="16"/>
  <c r="N389" i="21"/>
  <c r="V11" i="21"/>
  <c r="AJ11" i="21"/>
  <c r="Y96" i="16"/>
  <c r="AE96" i="16"/>
  <c r="Z448" i="16"/>
  <c r="AF448" i="16"/>
  <c r="M2" i="21"/>
  <c r="U7" i="21"/>
  <c r="AI7" i="21"/>
  <c r="Y88" i="16"/>
  <c r="J88" i="21"/>
  <c r="M88" i="21"/>
  <c r="AF363" i="16"/>
  <c r="Z363" i="16"/>
  <c r="AE31" i="17"/>
  <c r="Z31" i="17"/>
  <c r="AE125" i="17"/>
  <c r="Z125" i="17"/>
  <c r="AP12" i="8"/>
  <c r="AF12" i="8"/>
  <c r="AC12" i="23"/>
  <c r="AC64" i="23"/>
  <c r="Z332" i="16"/>
  <c r="AF332" i="16"/>
  <c r="AK4" i="16"/>
  <c r="AL4" i="16"/>
  <c r="N7" i="23"/>
  <c r="N59" i="23"/>
  <c r="AJ29" i="7"/>
  <c r="AL29" i="7"/>
  <c r="AP30" i="8"/>
  <c r="AF30" i="8"/>
  <c r="AC30" i="23"/>
  <c r="AC82" i="23"/>
  <c r="Y40" i="16"/>
  <c r="AE40" i="16"/>
  <c r="N250" i="21"/>
  <c r="K250" i="21"/>
  <c r="AK5" i="7"/>
  <c r="AG5" i="23"/>
  <c r="AG57" i="23"/>
  <c r="W11" i="25"/>
  <c r="AO43" i="8"/>
  <c r="AE43" i="8"/>
  <c r="AG43" i="8"/>
  <c r="T43" i="7"/>
  <c r="AP43" i="8"/>
  <c r="AF43" i="8"/>
  <c r="AC43" i="23"/>
  <c r="AC95" i="23"/>
  <c r="Z153" i="16"/>
  <c r="AF153" i="16"/>
  <c r="Z65" i="17"/>
  <c r="AE65" i="17"/>
  <c r="AJ8" i="17"/>
  <c r="Z404" i="16"/>
  <c r="K404" i="21"/>
  <c r="N404" i="21"/>
  <c r="Z403" i="16"/>
  <c r="AF403" i="16"/>
  <c r="AE157" i="17"/>
  <c r="Z157" i="17"/>
  <c r="Q34" i="28"/>
  <c r="AM15" i="7"/>
  <c r="T34" i="28"/>
  <c r="AE200" i="17"/>
  <c r="Z200" i="17"/>
  <c r="Z118" i="16"/>
  <c r="K118" i="21"/>
  <c r="N118" i="21"/>
  <c r="Z471" i="16"/>
  <c r="AF471" i="16"/>
  <c r="AF321" i="16"/>
  <c r="Z321" i="16"/>
  <c r="N539" i="21"/>
  <c r="K539" i="21"/>
  <c r="U7" i="28"/>
  <c r="AM19" i="7"/>
  <c r="R7" i="28"/>
  <c r="AO25" i="9"/>
  <c r="AE25" i="9"/>
  <c r="AG25" i="9"/>
  <c r="AF6" i="16"/>
  <c r="N288" i="21"/>
  <c r="K288" i="21"/>
  <c r="N129" i="21"/>
  <c r="K129" i="21"/>
  <c r="N524" i="21"/>
  <c r="K524" i="21"/>
  <c r="Z250" i="16"/>
  <c r="AF250" i="16"/>
  <c r="N445" i="21"/>
  <c r="K445" i="21"/>
  <c r="AE70" i="17"/>
  <c r="Z70" i="17"/>
  <c r="AK34" i="8"/>
  <c r="AK34" i="9"/>
  <c r="AF17" i="9"/>
  <c r="AP17" i="9"/>
  <c r="AE74" i="17"/>
  <c r="Z74" i="17"/>
  <c r="AC67" i="23"/>
  <c r="AC15" i="23"/>
  <c r="AF15" i="8"/>
  <c r="AP15" i="8"/>
  <c r="Y89" i="16"/>
  <c r="AE89" i="16"/>
  <c r="AL6" i="7"/>
  <c r="AF319" i="16"/>
  <c r="Z319" i="16"/>
  <c r="AG21" i="9"/>
  <c r="AE21" i="9"/>
  <c r="AO21" i="9"/>
  <c r="AG5" i="9"/>
  <c r="AE5" i="9"/>
  <c r="AO5" i="9"/>
  <c r="AE53" i="9"/>
  <c r="AF202" i="16"/>
  <c r="Z202" i="16"/>
  <c r="AF330" i="16"/>
  <c r="Z330" i="16"/>
  <c r="AJ17" i="7"/>
  <c r="AJ17" i="8"/>
  <c r="AL17" i="8"/>
  <c r="AK50" i="8"/>
  <c r="AK50" i="9"/>
  <c r="M83" i="21"/>
  <c r="J83" i="21"/>
  <c r="Z6" i="16"/>
  <c r="K6" i="21"/>
  <c r="N6" i="21"/>
  <c r="AG18" i="8"/>
  <c r="AF456" i="16"/>
  <c r="AJ48" i="7"/>
  <c r="AF48" i="23"/>
  <c r="AF100" i="23"/>
  <c r="AB58" i="23"/>
  <c r="AB6" i="23"/>
  <c r="AF87" i="23"/>
  <c r="AF35" i="23"/>
  <c r="N417" i="21"/>
  <c r="K417" i="21"/>
  <c r="AM48" i="8"/>
  <c r="T48" i="8"/>
  <c r="N48" i="8"/>
  <c r="AL7" i="16"/>
  <c r="AK7" i="16"/>
  <c r="L63" i="6"/>
  <c r="N325" i="21"/>
  <c r="K325" i="21"/>
  <c r="AD51" i="17"/>
  <c r="Y51" i="17"/>
  <c r="I13" i="28"/>
  <c r="AM13" i="7"/>
  <c r="F13" i="28"/>
  <c r="N380" i="21"/>
  <c r="K380" i="21"/>
  <c r="AF49" i="9"/>
  <c r="AP49" i="9"/>
  <c r="D15" i="25"/>
  <c r="D14" i="25"/>
  <c r="N368" i="21"/>
  <c r="K368" i="21"/>
  <c r="AJ18" i="7"/>
  <c r="AJ18" i="9"/>
  <c r="AL18" i="9"/>
  <c r="AE207" i="16"/>
  <c r="Y207" i="16"/>
  <c r="AE104" i="16"/>
  <c r="AO23" i="9"/>
  <c r="AE23" i="9"/>
  <c r="AG23" i="9"/>
  <c r="Y95" i="16"/>
  <c r="AE95" i="16"/>
  <c r="Z445" i="16"/>
  <c r="AF445" i="16"/>
  <c r="AE72" i="17"/>
  <c r="Z72" i="17"/>
  <c r="AF117" i="16"/>
  <c r="AO26" i="8"/>
  <c r="AE26" i="8"/>
  <c r="AG26" i="8"/>
  <c r="AK34" i="6"/>
  <c r="AK34" i="7"/>
  <c r="AG34" i="23"/>
  <c r="AG86" i="23"/>
  <c r="AG89" i="23"/>
  <c r="AG37" i="23"/>
  <c r="Z509" i="16"/>
  <c r="AF509" i="16"/>
  <c r="Z129" i="16"/>
  <c r="AF129" i="16"/>
  <c r="AF41" i="9"/>
  <c r="AP41" i="9"/>
  <c r="N359" i="21"/>
  <c r="K359" i="21"/>
  <c r="AF385" i="16"/>
  <c r="Z385" i="16"/>
  <c r="N28" i="9"/>
  <c r="T28" i="9"/>
  <c r="AM28" i="9"/>
  <c r="AF326" i="16"/>
  <c r="Z326" i="16"/>
  <c r="AF75" i="23"/>
  <c r="AF23" i="23"/>
  <c r="AF485" i="16"/>
  <c r="AJ6" i="7"/>
  <c r="AJ6" i="9"/>
  <c r="AL6" i="9"/>
  <c r="AF6" i="9"/>
  <c r="AP6" i="9"/>
  <c r="N284" i="21"/>
  <c r="K284" i="21"/>
  <c r="AE109" i="17"/>
  <c r="Z109" i="17"/>
  <c r="M102" i="21"/>
  <c r="J102" i="21"/>
  <c r="N349" i="21"/>
  <c r="K349" i="21"/>
  <c r="AM44" i="8"/>
  <c r="N44" i="8"/>
  <c r="T44" i="8"/>
  <c r="AF40" i="9"/>
  <c r="AP40" i="9"/>
  <c r="N317" i="21"/>
  <c r="K317" i="21"/>
  <c r="AE93" i="17"/>
  <c r="Z93" i="17"/>
  <c r="H8" i="28"/>
  <c r="E6" i="28"/>
  <c r="E8" i="28"/>
  <c r="H6" i="28"/>
  <c r="AE178" i="16"/>
  <c r="Y178" i="16"/>
  <c r="N172" i="21"/>
  <c r="K172" i="21"/>
  <c r="AF7" i="21"/>
  <c r="J2" i="21"/>
  <c r="R7" i="21"/>
  <c r="X7" i="21"/>
  <c r="N289" i="21"/>
  <c r="K289" i="21"/>
  <c r="N29" i="8"/>
  <c r="T29" i="8"/>
  <c r="AM29" i="8"/>
  <c r="AE12" i="16"/>
  <c r="Z497" i="16"/>
  <c r="AF497" i="16"/>
  <c r="Z21" i="16"/>
  <c r="K21" i="21"/>
  <c r="N21" i="21"/>
  <c r="N170" i="21"/>
  <c r="K170" i="21"/>
  <c r="AK50" i="6"/>
  <c r="AK50" i="7"/>
  <c r="AG50" i="23"/>
  <c r="AG102" i="23"/>
  <c r="N203" i="21"/>
  <c r="K203" i="21"/>
  <c r="M143" i="21"/>
  <c r="J143" i="21"/>
  <c r="AO18" i="8"/>
  <c r="AE18" i="8"/>
  <c r="AB18" i="23"/>
  <c r="AB70" i="23"/>
  <c r="AF422" i="16"/>
  <c r="Z456" i="16"/>
  <c r="K456" i="21"/>
  <c r="N456" i="21"/>
  <c r="N374" i="21"/>
  <c r="K374" i="21"/>
  <c r="N253" i="21"/>
  <c r="K253" i="21"/>
  <c r="AF327" i="16"/>
  <c r="Z327" i="16"/>
  <c r="N305" i="21"/>
  <c r="K305" i="21"/>
  <c r="N39" i="9"/>
  <c r="T39" i="9"/>
  <c r="AM39" i="9"/>
  <c r="AE7" i="16"/>
  <c r="AK13" i="6"/>
  <c r="AK13" i="7"/>
  <c r="AG13" i="23"/>
  <c r="AG65" i="23"/>
  <c r="M188" i="21"/>
  <c r="J188" i="21"/>
  <c r="AF367" i="16"/>
  <c r="Z367" i="16"/>
  <c r="AM45" i="8"/>
  <c r="T45" i="8"/>
  <c r="N45" i="8"/>
  <c r="AM36" i="8"/>
  <c r="T36" i="8"/>
  <c r="N36" i="8"/>
  <c r="AK32" i="8"/>
  <c r="AK32" i="9"/>
  <c r="Z77" i="16"/>
  <c r="AF77" i="16"/>
  <c r="AC88" i="23"/>
  <c r="AC36" i="23"/>
  <c r="AF36" i="8"/>
  <c r="AP36" i="8"/>
  <c r="AF220" i="16"/>
  <c r="Z220" i="16"/>
  <c r="N53" i="7"/>
  <c r="N58" i="7"/>
  <c r="AO9" i="8"/>
  <c r="AE9" i="8"/>
  <c r="AB9" i="23"/>
  <c r="AB61" i="23"/>
  <c r="AF534" i="16"/>
  <c r="Z534" i="16"/>
  <c r="N135" i="21"/>
  <c r="K135" i="21"/>
  <c r="N385" i="21"/>
  <c r="K385" i="21"/>
  <c r="M98" i="21"/>
  <c r="J98" i="21"/>
  <c r="N465" i="21"/>
  <c r="K465" i="21"/>
  <c r="N97" i="23"/>
  <c r="N45" i="23"/>
  <c r="Y104" i="16"/>
  <c r="J104" i="21"/>
  <c r="M104" i="21"/>
  <c r="AP18" i="8"/>
  <c r="AF18" i="8"/>
  <c r="AC18" i="23"/>
  <c r="AC70" i="23"/>
  <c r="AK41" i="8"/>
  <c r="AK41" i="6"/>
  <c r="AK41" i="7"/>
  <c r="AK41" i="9"/>
  <c r="AO44" i="9"/>
  <c r="AE44" i="9"/>
  <c r="AG44" i="9"/>
  <c r="Z117" i="16"/>
  <c r="K117" i="21"/>
  <c r="N117" i="21"/>
  <c r="AE42" i="17"/>
  <c r="Z42" i="17"/>
  <c r="Z539" i="16"/>
  <c r="AF539" i="16"/>
  <c r="AF74" i="23"/>
  <c r="AF22" i="23"/>
  <c r="Z158" i="16"/>
  <c r="AF158" i="16"/>
  <c r="Z476" i="16"/>
  <c r="AF476" i="16"/>
  <c r="Z491" i="16"/>
  <c r="AF491" i="16"/>
  <c r="Z259" i="16"/>
  <c r="AF259" i="16"/>
  <c r="Z121" i="16"/>
  <c r="AF121" i="16"/>
  <c r="Z72" i="16"/>
  <c r="AF72" i="16"/>
  <c r="Z485" i="16"/>
  <c r="K485" i="21"/>
  <c r="N485" i="21"/>
  <c r="N65" i="6"/>
  <c r="AE194" i="17"/>
  <c r="Z194" i="17"/>
  <c r="Y102" i="16"/>
  <c r="AE102" i="16"/>
  <c r="AK37" i="9"/>
  <c r="AK37" i="6"/>
  <c r="AK37" i="7"/>
  <c r="AK37" i="8"/>
  <c r="N101" i="23"/>
  <c r="N49" i="23"/>
  <c r="AF333" i="16"/>
  <c r="Z333" i="16"/>
  <c r="N442" i="21"/>
  <c r="K442" i="21"/>
  <c r="AM44" i="7"/>
  <c r="AK32" i="6"/>
  <c r="AK32" i="7"/>
  <c r="AG32" i="23"/>
  <c r="AG84" i="23"/>
  <c r="Z135" i="16"/>
  <c r="AF135" i="16"/>
  <c r="Y7" i="16"/>
  <c r="J7" i="21"/>
  <c r="M7" i="21"/>
  <c r="M43" i="21"/>
  <c r="J43" i="21"/>
  <c r="N271" i="21"/>
  <c r="K271" i="21"/>
  <c r="AF296" i="16"/>
  <c r="Z296" i="16"/>
  <c r="N314" i="21"/>
  <c r="K314" i="21"/>
  <c r="AF283" i="16"/>
  <c r="Z283" i="16"/>
  <c r="Y12" i="16"/>
  <c r="J12" i="21"/>
  <c r="M12" i="21"/>
  <c r="N41" i="9"/>
  <c r="T41" i="9"/>
  <c r="AM41" i="9"/>
  <c r="Y5" i="16"/>
  <c r="AE5" i="16"/>
  <c r="AE69" i="17"/>
  <c r="Z69" i="17"/>
  <c r="AF218" i="16"/>
  <c r="Z218" i="16"/>
  <c r="AC61" i="23"/>
  <c r="N9" i="7"/>
  <c r="T9" i="7"/>
  <c r="AP9" i="8"/>
  <c r="AF9" i="8"/>
  <c r="AC9" i="23"/>
  <c r="AE90" i="17"/>
  <c r="Z90" i="17"/>
  <c r="AE104" i="17"/>
  <c r="Z104" i="17"/>
  <c r="Z422" i="16"/>
  <c r="K422" i="21"/>
  <c r="N422" i="21"/>
  <c r="AL5" i="16"/>
  <c r="AK5" i="16"/>
  <c r="AE177" i="17"/>
  <c r="Z177" i="17"/>
  <c r="AE8" i="17"/>
  <c r="Z8" i="17"/>
  <c r="AF383" i="16"/>
  <c r="Z383" i="16"/>
  <c r="AF343" i="16"/>
  <c r="Z343" i="16"/>
  <c r="AL34" i="8"/>
  <c r="AJ34" i="8"/>
  <c r="AG64" i="23"/>
  <c r="AG12" i="23"/>
  <c r="M185" i="21"/>
  <c r="J185" i="21"/>
  <c r="AL43" i="7"/>
  <c r="AL7" i="9"/>
  <c r="AJ7" i="9"/>
  <c r="AF34" i="9"/>
  <c r="AP34" i="9"/>
  <c r="M23" i="21"/>
  <c r="J23" i="21"/>
  <c r="AE11" i="17"/>
  <c r="Z11" i="17"/>
  <c r="N222" i="21"/>
  <c r="K222" i="21"/>
  <c r="AE180" i="17"/>
  <c r="Z180" i="17"/>
  <c r="AL23" i="9"/>
  <c r="AJ23" i="9"/>
  <c r="AP40" i="8"/>
  <c r="AF40" i="8"/>
  <c r="AC40" i="23"/>
  <c r="AC92" i="23"/>
  <c r="AD20" i="17"/>
  <c r="Y20" i="17"/>
  <c r="M16" i="21"/>
  <c r="J16" i="21"/>
  <c r="AL21" i="8"/>
  <c r="AJ21" i="8"/>
  <c r="N516" i="21"/>
  <c r="K516" i="21"/>
  <c r="AE185" i="17"/>
  <c r="Z185" i="17"/>
  <c r="AF27" i="9"/>
  <c r="AP27" i="9"/>
  <c r="N495" i="21"/>
  <c r="K495" i="21"/>
  <c r="AF478" i="16"/>
  <c r="AF222" i="16"/>
  <c r="Z222" i="16"/>
  <c r="AG81" i="23"/>
  <c r="AG29" i="23"/>
  <c r="Z405" i="16"/>
  <c r="AF405" i="16"/>
  <c r="N437" i="21"/>
  <c r="K437" i="21"/>
  <c r="AK12" i="9"/>
  <c r="AK12" i="6"/>
  <c r="AK12" i="7"/>
  <c r="AK12" i="8"/>
  <c r="AE110" i="17"/>
  <c r="Z110" i="17"/>
  <c r="N273" i="21"/>
  <c r="K273" i="21"/>
  <c r="AJ43" i="7"/>
  <c r="AJ43" i="9"/>
  <c r="AL43" i="9"/>
  <c r="N308" i="21"/>
  <c r="K308" i="21"/>
  <c r="AF338" i="16"/>
  <c r="Z338" i="16"/>
  <c r="AF544" i="16"/>
  <c r="AF14" i="16"/>
  <c r="AE185" i="16"/>
  <c r="Y185" i="16"/>
  <c r="AF291" i="16"/>
  <c r="Z291" i="16"/>
  <c r="AF156" i="16"/>
  <c r="AF66" i="23"/>
  <c r="AF14" i="23"/>
  <c r="M15" i="21"/>
  <c r="J15" i="21"/>
  <c r="AL38" i="8"/>
  <c r="AJ38" i="8"/>
  <c r="N328" i="21"/>
  <c r="K328" i="21"/>
  <c r="N494" i="21"/>
  <c r="K494" i="21"/>
  <c r="AE97" i="16"/>
  <c r="AG11" i="8"/>
  <c r="AF160" i="16"/>
  <c r="AF512" i="16"/>
  <c r="AG11" i="21"/>
  <c r="Y11" i="21"/>
  <c r="K389" i="21"/>
  <c r="S11" i="21"/>
  <c r="AC62" i="23"/>
  <c r="AC10" i="23"/>
  <c r="AF10" i="8"/>
  <c r="AP10" i="8"/>
  <c r="N245" i="21"/>
  <c r="K245" i="21"/>
  <c r="U32" i="28"/>
  <c r="R32" i="28"/>
  <c r="AE60" i="17"/>
  <c r="Z60" i="17"/>
  <c r="AL16" i="9"/>
  <c r="AJ16" i="9"/>
  <c r="AF513" i="16"/>
  <c r="N341" i="21"/>
  <c r="K341" i="21"/>
  <c r="M101" i="21"/>
  <c r="J101" i="21"/>
  <c r="AE213" i="16"/>
  <c r="Y213" i="16"/>
  <c r="N124" i="21"/>
  <c r="K124" i="21"/>
  <c r="AB86" i="23"/>
  <c r="AB34" i="23"/>
  <c r="AF23" i="9"/>
  <c r="AP23" i="9"/>
  <c r="AF374" i="16"/>
  <c r="Z374" i="16"/>
  <c r="AJ24" i="7"/>
  <c r="AJ24" i="8"/>
  <c r="AL24" i="8"/>
  <c r="N8" i="23"/>
  <c r="N60" i="23"/>
  <c r="AE10" i="21"/>
  <c r="AE134" i="17"/>
  <c r="Z134" i="17"/>
  <c r="M45" i="21"/>
  <c r="J45" i="21"/>
  <c r="AF408" i="16"/>
  <c r="N461" i="21"/>
  <c r="K461" i="21"/>
  <c r="N510" i="21"/>
  <c r="K510" i="21"/>
  <c r="N200" i="21"/>
  <c r="K200" i="21"/>
  <c r="AF271" i="16"/>
  <c r="Z271" i="16"/>
  <c r="AE83" i="17"/>
  <c r="Z83" i="17"/>
  <c r="N487" i="21"/>
  <c r="K487" i="21"/>
  <c r="AF46" i="9"/>
  <c r="AP46" i="9"/>
  <c r="AG96" i="23"/>
  <c r="AG44" i="23"/>
  <c r="T53" i="7"/>
  <c r="AE7" i="21"/>
  <c r="AE2" i="17"/>
  <c r="Z2" i="17"/>
  <c r="AE137" i="17"/>
  <c r="Z137" i="17"/>
  <c r="AD53" i="17"/>
  <c r="Y53" i="17"/>
  <c r="AF380" i="16"/>
  <c r="Z380" i="16"/>
  <c r="R17" i="28"/>
  <c r="AM34" i="7"/>
  <c r="U17" i="28"/>
  <c r="AF302" i="16"/>
  <c r="Z302" i="16"/>
  <c r="N198" i="21"/>
  <c r="K198" i="21"/>
  <c r="AM20" i="9"/>
  <c r="N20" i="9"/>
  <c r="T20" i="9"/>
  <c r="AB79" i="23"/>
  <c r="AB27" i="23"/>
  <c r="AB77" i="23"/>
  <c r="AB25" i="23"/>
  <c r="N420" i="21"/>
  <c r="K420" i="21"/>
  <c r="AL26" i="7"/>
  <c r="AL20" i="7"/>
  <c r="Z544" i="16"/>
  <c r="K544" i="21"/>
  <c r="N544" i="21"/>
  <c r="Z14" i="16"/>
  <c r="K14" i="21"/>
  <c r="N14" i="21"/>
  <c r="AG50" i="8"/>
  <c r="AB67" i="23"/>
  <c r="AB15" i="23"/>
  <c r="Z440" i="16"/>
  <c r="AF440" i="16"/>
  <c r="AE211" i="16"/>
  <c r="Y211" i="16"/>
  <c r="AE146" i="17"/>
  <c r="Z146" i="17"/>
  <c r="AF10" i="9"/>
  <c r="AP10" i="9"/>
  <c r="N35" i="6"/>
  <c r="N35" i="7"/>
  <c r="N35" i="8"/>
  <c r="T35" i="8"/>
  <c r="AM35" i="8"/>
  <c r="Z156" i="16"/>
  <c r="K156" i="21"/>
  <c r="N156" i="21"/>
  <c r="AF264" i="16"/>
  <c r="Z264" i="16"/>
  <c r="AE142" i="17"/>
  <c r="Z142" i="17"/>
  <c r="N107" i="21"/>
  <c r="K107" i="21"/>
  <c r="AE164" i="17"/>
  <c r="Z164" i="17"/>
  <c r="AF26" i="16"/>
  <c r="AF137" i="16"/>
  <c r="AF449" i="16"/>
  <c r="AA7" i="21"/>
  <c r="Y16" i="16"/>
  <c r="AE16" i="16"/>
  <c r="N365" i="21"/>
  <c r="K365" i="21"/>
  <c r="Z18" i="16"/>
  <c r="AF18" i="16"/>
  <c r="AO11" i="8"/>
  <c r="AE11" i="8"/>
  <c r="AB11" i="23"/>
  <c r="AB63" i="23"/>
  <c r="AF274" i="16"/>
  <c r="Z274" i="16"/>
  <c r="AF354" i="16"/>
  <c r="Z354" i="16"/>
  <c r="AL22" i="7"/>
  <c r="N306" i="21"/>
  <c r="K306" i="21"/>
  <c r="AL14" i="8"/>
  <c r="AJ14" i="8"/>
  <c r="AF543" i="16"/>
  <c r="AF84" i="23"/>
  <c r="AF32" i="23"/>
  <c r="N132" i="21"/>
  <c r="K132" i="21"/>
  <c r="AD19" i="17"/>
  <c r="Y19" i="17"/>
  <c r="N310" i="21"/>
  <c r="K310" i="21"/>
  <c r="AF18" i="9"/>
  <c r="AP18" i="9"/>
  <c r="M214" i="21"/>
  <c r="J214" i="21"/>
  <c r="N80" i="21"/>
  <c r="K80" i="21"/>
  <c r="L69" i="6"/>
  <c r="AL13" i="9"/>
  <c r="AJ13" i="9"/>
  <c r="N120" i="21"/>
  <c r="K120" i="21"/>
  <c r="AK53" i="9"/>
  <c r="N303" i="21"/>
  <c r="K303" i="21"/>
  <c r="Y86" i="16"/>
  <c r="AE86" i="16"/>
  <c r="Y83" i="16"/>
  <c r="AE83" i="16"/>
  <c r="Y143" i="16"/>
  <c r="AE143" i="16"/>
  <c r="AL9" i="7"/>
  <c r="Z22" i="16"/>
  <c r="AF22" i="16"/>
  <c r="N50" i="9"/>
  <c r="T50" i="9"/>
  <c r="AM50" i="9"/>
  <c r="AF292" i="16"/>
  <c r="Z292" i="16"/>
  <c r="AB11" i="21"/>
  <c r="Z253" i="16"/>
  <c r="AF253" i="16"/>
  <c r="AJ12" i="7"/>
  <c r="AL12" i="7"/>
  <c r="Z469" i="16"/>
  <c r="AF469" i="16"/>
  <c r="AF21" i="9"/>
  <c r="AP21" i="9"/>
  <c r="AP6" i="8"/>
  <c r="AF6" i="8"/>
  <c r="AC6" i="23"/>
  <c r="AC58" i="23"/>
  <c r="Z437" i="16"/>
  <c r="AF437" i="16"/>
  <c r="N19" i="8"/>
  <c r="T19" i="8"/>
  <c r="AM19" i="8"/>
  <c r="N218" i="21"/>
  <c r="K218" i="21"/>
  <c r="AE186" i="17"/>
  <c r="Z186" i="17"/>
  <c r="X15" i="25"/>
  <c r="D9" i="25"/>
  <c r="X9" i="25"/>
  <c r="X14" i="25"/>
  <c r="Z408" i="16"/>
  <c r="K408" i="21"/>
  <c r="N408" i="21"/>
  <c r="AE148" i="17"/>
  <c r="Z148" i="17"/>
  <c r="Z461" i="16"/>
  <c r="AF461" i="16"/>
  <c r="I14" i="28"/>
  <c r="N14" i="6"/>
  <c r="N14" i="7"/>
  <c r="T14" i="7"/>
  <c r="AM14" i="7"/>
  <c r="F14" i="28"/>
  <c r="AF535" i="16"/>
  <c r="Z535" i="16"/>
  <c r="Z510" i="16"/>
  <c r="AF510" i="16"/>
  <c r="AG91" i="23"/>
  <c r="AG39" i="23"/>
  <c r="Y15" i="16"/>
  <c r="AE15" i="16"/>
  <c r="M44" i="21"/>
  <c r="J44" i="21"/>
  <c r="Z487" i="16"/>
  <c r="AF487" i="16"/>
  <c r="AL34" i="7"/>
  <c r="N334" i="21"/>
  <c r="K334" i="21"/>
  <c r="Z513" i="16"/>
  <c r="K513" i="21"/>
  <c r="N513" i="21"/>
  <c r="Z494" i="16"/>
  <c r="AF494" i="16"/>
  <c r="T17" i="7"/>
  <c r="AP17" i="8"/>
  <c r="AF17" i="8"/>
  <c r="AC17" i="23"/>
  <c r="AC69" i="23"/>
  <c r="AM37" i="7"/>
  <c r="Y97" i="16"/>
  <c r="J97" i="21"/>
  <c r="M97" i="21"/>
  <c r="AB82" i="23"/>
  <c r="AB30" i="23"/>
  <c r="N6" i="8"/>
  <c r="T6" i="8"/>
  <c r="AM6" i="8"/>
  <c r="AF387" i="16"/>
  <c r="Z387" i="16"/>
  <c r="N391" i="21"/>
  <c r="K391" i="21"/>
  <c r="N339" i="21"/>
  <c r="K339" i="21"/>
  <c r="AJ26" i="7"/>
  <c r="AF26" i="23"/>
  <c r="AF78" i="23"/>
  <c r="AJ7" i="7"/>
  <c r="AL7" i="7"/>
  <c r="AF300" i="16"/>
  <c r="Z300" i="16"/>
  <c r="N75" i="21"/>
  <c r="K75" i="21"/>
  <c r="AJ20" i="7"/>
  <c r="AJ20" i="8"/>
  <c r="AL20" i="8"/>
  <c r="N165" i="21"/>
  <c r="K165" i="21"/>
  <c r="Y45" i="16"/>
  <c r="AE45" i="16"/>
  <c r="Y23" i="16"/>
  <c r="AE23" i="16"/>
  <c r="AO50" i="8"/>
  <c r="AE50" i="8"/>
  <c r="AB50" i="23"/>
  <c r="AB102" i="23"/>
  <c r="T15" i="7"/>
  <c r="AO15" i="8"/>
  <c r="AE15" i="8"/>
  <c r="AG15" i="8"/>
  <c r="M94" i="21"/>
  <c r="J94" i="21"/>
  <c r="AE59" i="17"/>
  <c r="Z59" i="17"/>
  <c r="AJ35" i="6"/>
  <c r="AJ35" i="7"/>
  <c r="AL35" i="7"/>
  <c r="AO7" i="9"/>
  <c r="AE7" i="9"/>
  <c r="AG7" i="9"/>
  <c r="Y9" i="16"/>
  <c r="AE9" i="16"/>
  <c r="AJ23" i="7"/>
  <c r="AL23" i="7"/>
  <c r="Z417" i="16"/>
  <c r="AF417" i="16"/>
  <c r="Z107" i="16"/>
  <c r="AF107" i="16"/>
  <c r="Z26" i="16"/>
  <c r="K26" i="21"/>
  <c r="N26" i="21"/>
  <c r="AK39" i="9"/>
  <c r="AK39" i="6"/>
  <c r="AK39" i="7"/>
  <c r="AK39" i="8"/>
  <c r="AJ34" i="7"/>
  <c r="AF34" i="23"/>
  <c r="AF86" i="23"/>
  <c r="AJ43" i="6"/>
  <c r="N43" i="6"/>
  <c r="N43" i="7"/>
  <c r="N43" i="8"/>
  <c r="T43" i="8"/>
  <c r="AM43" i="8"/>
  <c r="AE114" i="17"/>
  <c r="Z114" i="17"/>
  <c r="AK44" i="9"/>
  <c r="AK44" i="6"/>
  <c r="AK44" i="7"/>
  <c r="AK44" i="8"/>
  <c r="Z137" i="16"/>
  <c r="K137" i="21"/>
  <c r="N137" i="21"/>
  <c r="AL11" i="9"/>
  <c r="AJ11" i="9"/>
  <c r="Z449" i="16"/>
  <c r="K449" i="21"/>
  <c r="N449" i="21"/>
  <c r="N369" i="21"/>
  <c r="K369" i="21"/>
  <c r="AE62" i="17"/>
  <c r="Z62" i="17"/>
  <c r="N460" i="21"/>
  <c r="K460" i="21"/>
  <c r="AE181" i="16"/>
  <c r="Y181" i="16"/>
  <c r="AJ21" i="7"/>
  <c r="AL21" i="7"/>
  <c r="AE79" i="17"/>
  <c r="Z79" i="17"/>
  <c r="Z516" i="16"/>
  <c r="AF516" i="16"/>
  <c r="Z442" i="16"/>
  <c r="AF442" i="16"/>
  <c r="AJ9" i="7"/>
  <c r="AF9" i="23"/>
  <c r="AF61" i="23"/>
  <c r="AB96" i="23"/>
  <c r="AB44" i="23"/>
  <c r="AF243" i="16"/>
  <c r="AM27" i="7"/>
  <c r="N287" i="21"/>
  <c r="K287" i="21"/>
  <c r="AF249" i="16"/>
  <c r="AF102" i="23"/>
  <c r="AF50" i="23"/>
  <c r="AJ22" i="7"/>
  <c r="AJ22" i="8"/>
  <c r="AL22" i="8"/>
  <c r="AL47" i="7"/>
  <c r="AF203" i="16"/>
  <c r="Z203" i="16"/>
  <c r="AF161" i="16"/>
  <c r="AG41" i="9"/>
  <c r="AE41" i="9"/>
  <c r="AO41" i="9"/>
  <c r="AL14" i="9"/>
  <c r="AJ14" i="9"/>
  <c r="AF242" i="16"/>
  <c r="AE216" i="16"/>
  <c r="Y216" i="16"/>
  <c r="N19" i="21"/>
  <c r="K19" i="21"/>
  <c r="AF73" i="16"/>
  <c r="N11" i="21"/>
  <c r="K11" i="21"/>
  <c r="AE193" i="17"/>
  <c r="Z193" i="17"/>
  <c r="N136" i="21"/>
  <c r="K136" i="21"/>
  <c r="N486" i="21"/>
  <c r="K486" i="21"/>
  <c r="AF322" i="16"/>
  <c r="Z322" i="16"/>
  <c r="Z543" i="16"/>
  <c r="K543" i="21"/>
  <c r="N543" i="21"/>
  <c r="AF378" i="16"/>
  <c r="Z378" i="16"/>
  <c r="Z478" i="16"/>
  <c r="K478" i="21"/>
  <c r="N478" i="21"/>
  <c r="N49" i="8"/>
  <c r="T49" i="8"/>
  <c r="AM49" i="8"/>
  <c r="N483" i="21"/>
  <c r="K483" i="21"/>
  <c r="N415" i="21"/>
  <c r="K415" i="21"/>
  <c r="M184" i="21"/>
  <c r="J184" i="21"/>
  <c r="AF261" i="16"/>
  <c r="AF540" i="16"/>
  <c r="N26" i="8"/>
  <c r="T26" i="8"/>
  <c r="AM26" i="8"/>
  <c r="Y2" i="16"/>
  <c r="AE2" i="16"/>
  <c r="AK2" i="16"/>
  <c r="AL2" i="16"/>
  <c r="Z389" i="16"/>
  <c r="AF389" i="16"/>
  <c r="AU5" i="16"/>
  <c r="AV5" i="16"/>
  <c r="AJ46" i="7"/>
  <c r="AF46" i="23"/>
  <c r="AF98" i="23"/>
  <c r="N473" i="21"/>
  <c r="K473" i="21"/>
  <c r="Y98" i="16"/>
  <c r="AE98" i="16"/>
  <c r="N502" i="21"/>
  <c r="K502" i="21"/>
  <c r="Z242" i="16"/>
  <c r="K242" i="21"/>
  <c r="N242" i="21"/>
  <c r="N407" i="21"/>
  <c r="K407" i="21"/>
  <c r="AC83" i="23"/>
  <c r="AC31" i="23"/>
  <c r="T31" i="7"/>
  <c r="AP31" i="8"/>
  <c r="AF31" i="8"/>
  <c r="AK10" i="9"/>
  <c r="AK10" i="8"/>
  <c r="AC59" i="23"/>
  <c r="AC7" i="23"/>
  <c r="AP7" i="8"/>
  <c r="AF7" i="8"/>
  <c r="AF529" i="16"/>
  <c r="Z529" i="16"/>
  <c r="N350" i="21"/>
  <c r="K350" i="21"/>
  <c r="Z19" i="16"/>
  <c r="AF19" i="16"/>
  <c r="N477" i="21"/>
  <c r="K477" i="21"/>
  <c r="N50" i="23"/>
  <c r="N102" i="23"/>
  <c r="AF94" i="23"/>
  <c r="AF42" i="23"/>
  <c r="AF162" i="16"/>
  <c r="AL28" i="9"/>
  <c r="AJ28" i="9"/>
  <c r="N266" i="21"/>
  <c r="K266" i="21"/>
  <c r="N457" i="21"/>
  <c r="K457" i="21"/>
  <c r="AE154" i="17"/>
  <c r="Z154" i="17"/>
  <c r="AF51" i="9"/>
  <c r="N51" i="6"/>
  <c r="N51" i="7"/>
  <c r="T51" i="7"/>
  <c r="AP51" i="9"/>
  <c r="N406" i="21"/>
  <c r="K406" i="21"/>
  <c r="AF47" i="9"/>
  <c r="AP47" i="9"/>
  <c r="AF32" i="9"/>
  <c r="N32" i="6"/>
  <c r="N32" i="7"/>
  <c r="T32" i="7"/>
  <c r="AP32" i="9"/>
  <c r="N521" i="21"/>
  <c r="K521" i="21"/>
  <c r="AB64" i="23"/>
  <c r="AB12" i="23"/>
  <c r="AC73" i="23"/>
  <c r="AC21" i="23"/>
  <c r="AF21" i="8"/>
  <c r="AP21" i="8"/>
  <c r="N88" i="23"/>
  <c r="N36" i="23"/>
  <c r="AG45" i="8"/>
  <c r="AB65" i="23"/>
  <c r="AB13" i="23"/>
  <c r="M106" i="21"/>
  <c r="J106" i="21"/>
  <c r="N62" i="21"/>
  <c r="K62" i="21"/>
  <c r="AC76" i="23"/>
  <c r="AC24" i="23"/>
  <c r="AF24" i="8"/>
  <c r="AP24" i="8"/>
  <c r="N291" i="21"/>
  <c r="K291" i="21"/>
  <c r="AE117" i="17"/>
  <c r="Z117" i="17"/>
  <c r="N201" i="21"/>
  <c r="K201" i="21"/>
  <c r="N463" i="21"/>
  <c r="K463" i="21"/>
  <c r="AJ41" i="6"/>
  <c r="N41" i="6"/>
  <c r="N41" i="7"/>
  <c r="T41" i="7"/>
  <c r="AM41" i="7"/>
  <c r="AE169" i="17"/>
  <c r="Z169" i="17"/>
  <c r="Z261" i="16"/>
  <c r="K261" i="21"/>
  <c r="N261" i="21"/>
  <c r="Z540" i="16"/>
  <c r="K540" i="21"/>
  <c r="N540" i="21"/>
  <c r="N193" i="21"/>
  <c r="K193" i="21"/>
  <c r="AG22" i="8"/>
  <c r="Z460" i="16"/>
  <c r="AF460" i="16"/>
  <c r="AF195" i="16"/>
  <c r="Z195" i="16"/>
  <c r="AL32" i="9"/>
  <c r="AJ32" i="9"/>
  <c r="M142" i="21"/>
  <c r="J142" i="21"/>
  <c r="AF358" i="16"/>
  <c r="Z358" i="16"/>
  <c r="Z473" i="16"/>
  <c r="AF473" i="16"/>
  <c r="N55" i="21"/>
  <c r="K55" i="21"/>
  <c r="AE149" i="17"/>
  <c r="Z149" i="17"/>
  <c r="N37" i="21"/>
  <c r="K37" i="21"/>
  <c r="S11" i="25"/>
  <c r="AK10" i="7"/>
  <c r="AG10" i="23"/>
  <c r="AG62" i="23"/>
  <c r="N192" i="21"/>
  <c r="K192" i="21"/>
  <c r="AF108" i="16"/>
  <c r="AF500" i="16"/>
  <c r="AF377" i="16"/>
  <c r="Z377" i="16"/>
  <c r="AE38" i="16"/>
  <c r="AE67" i="17"/>
  <c r="Z67" i="17"/>
  <c r="AF260" i="16"/>
  <c r="AL39" i="9"/>
  <c r="AJ39" i="9"/>
  <c r="AB85" i="23"/>
  <c r="AB33" i="23"/>
  <c r="AF139" i="16"/>
  <c r="AF324" i="16"/>
  <c r="Z324" i="16"/>
  <c r="AG36" i="9"/>
  <c r="AJ36" i="6"/>
  <c r="N36" i="6"/>
  <c r="N36" i="7"/>
  <c r="T36" i="7"/>
  <c r="AO36" i="9"/>
  <c r="AE36" i="9"/>
  <c r="AF125" i="16"/>
  <c r="AB7" i="21"/>
  <c r="Z2" i="16"/>
  <c r="AF2" i="16"/>
  <c r="N74" i="21"/>
  <c r="K74" i="21"/>
  <c r="AL30" i="7"/>
  <c r="AE17" i="16"/>
  <c r="AM33" i="9"/>
  <c r="T33" i="9"/>
  <c r="N33" i="9"/>
  <c r="N382" i="21"/>
  <c r="K382" i="21"/>
  <c r="AP5" i="9"/>
  <c r="AF5" i="9"/>
  <c r="AG60" i="23"/>
  <c r="AG8" i="23"/>
  <c r="AF265" i="16"/>
  <c r="Z265" i="16"/>
  <c r="Z132" i="16"/>
  <c r="AF132" i="16"/>
  <c r="AE39" i="17"/>
  <c r="Z39" i="17"/>
  <c r="AG22" i="9"/>
  <c r="AE22" i="9"/>
  <c r="AO22" i="9"/>
  <c r="AE120" i="17"/>
  <c r="Z120" i="17"/>
  <c r="AG40" i="9"/>
  <c r="AE40" i="9"/>
  <c r="T40" i="7"/>
  <c r="AO40" i="9"/>
  <c r="N295" i="21"/>
  <c r="K295" i="21"/>
  <c r="AJ44" i="6"/>
  <c r="N44" i="6"/>
  <c r="N44" i="7"/>
  <c r="T44" i="7"/>
  <c r="AO44" i="8"/>
  <c r="AE44" i="8"/>
  <c r="AG44" i="8"/>
  <c r="M91" i="21"/>
  <c r="J91" i="21"/>
  <c r="AE36" i="17"/>
  <c r="Z36" i="17"/>
  <c r="Z243" i="16"/>
  <c r="K243" i="21"/>
  <c r="N243" i="21"/>
  <c r="AF328" i="16"/>
  <c r="Z328" i="16"/>
  <c r="Z160" i="16"/>
  <c r="K160" i="21"/>
  <c r="N160" i="21"/>
  <c r="Y94" i="16"/>
  <c r="AE94" i="16"/>
  <c r="Z249" i="16"/>
  <c r="K249" i="21"/>
  <c r="N249" i="21"/>
  <c r="N5" i="23"/>
  <c r="N57" i="23"/>
  <c r="D11" i="25"/>
  <c r="X11" i="25"/>
  <c r="AJ47" i="7"/>
  <c r="AF47" i="23"/>
  <c r="AF99" i="23"/>
  <c r="N12" i="9"/>
  <c r="T12" i="9"/>
  <c r="AM12" i="9"/>
  <c r="Z512" i="16"/>
  <c r="K512" i="21"/>
  <c r="N512" i="21"/>
  <c r="AJ37" i="6"/>
  <c r="N37" i="6"/>
  <c r="N37" i="7"/>
  <c r="T37" i="7"/>
  <c r="AP37" i="8"/>
  <c r="AF37" i="8"/>
  <c r="AC37" i="23"/>
  <c r="AC89" i="23"/>
  <c r="AF344" i="16"/>
  <c r="Z344" i="16"/>
  <c r="U22" i="28"/>
  <c r="N38" i="6"/>
  <c r="N38" i="7"/>
  <c r="T38" i="7"/>
  <c r="AM38" i="7"/>
  <c r="R22" i="28"/>
  <c r="Z161" i="16"/>
  <c r="K161" i="21"/>
  <c r="N161" i="21"/>
  <c r="N191" i="21"/>
  <c r="K191" i="21"/>
  <c r="AJ14" i="6"/>
  <c r="AJ14" i="7"/>
  <c r="AL14" i="7"/>
  <c r="Y101" i="16"/>
  <c r="AE101" i="16"/>
  <c r="N34" i="9"/>
  <c r="T34" i="9"/>
  <c r="AM34" i="9"/>
  <c r="M183" i="21"/>
  <c r="J183" i="21"/>
  <c r="N112" i="21"/>
  <c r="K112" i="21"/>
  <c r="Y38" i="16"/>
  <c r="J38" i="21"/>
  <c r="M38" i="21"/>
  <c r="Z37" i="16"/>
  <c r="AF37" i="16"/>
  <c r="AP5" i="8"/>
  <c r="AF5" i="8"/>
  <c r="AC5" i="23"/>
  <c r="AC57" i="23"/>
  <c r="S7" i="25"/>
  <c r="S13" i="25"/>
  <c r="R28" i="28"/>
  <c r="U28" i="28"/>
  <c r="AJ26" i="6"/>
  <c r="N26" i="6"/>
  <c r="N26" i="7"/>
  <c r="T26" i="7"/>
  <c r="AP26" i="8"/>
  <c r="AF26" i="8"/>
  <c r="AC26" i="23"/>
  <c r="AC78" i="23"/>
  <c r="N42" i="6"/>
  <c r="N42" i="7"/>
  <c r="N42" i="9"/>
  <c r="T42" i="9"/>
  <c r="AM42" i="9"/>
  <c r="AF285" i="16"/>
  <c r="Z285" i="16"/>
  <c r="Z500" i="16"/>
  <c r="K500" i="21"/>
  <c r="N500" i="21"/>
  <c r="AK29" i="9"/>
  <c r="AK29" i="6"/>
  <c r="AK29" i="7"/>
  <c r="AK29" i="8"/>
  <c r="Z55" i="16"/>
  <c r="AF55" i="16"/>
  <c r="N281" i="21"/>
  <c r="K281" i="21"/>
  <c r="AF524" i="16"/>
  <c r="AE13" i="16"/>
  <c r="Y91" i="16"/>
  <c r="AE91" i="16"/>
  <c r="N228" i="21"/>
  <c r="K228" i="21"/>
  <c r="AF288" i="16"/>
  <c r="Z288" i="16"/>
  <c r="Z495" i="16"/>
  <c r="AF495" i="16"/>
  <c r="AL51" i="8"/>
  <c r="AJ51" i="8"/>
  <c r="Y44" i="16"/>
  <c r="AE44" i="16"/>
  <c r="AF452" i="16"/>
  <c r="N462" i="21"/>
  <c r="K462" i="21"/>
  <c r="AE48" i="16"/>
  <c r="AF331" i="16"/>
  <c r="Z331" i="16"/>
  <c r="AF53" i="9"/>
  <c r="N433" i="21"/>
  <c r="K433" i="21"/>
  <c r="AF10" i="16"/>
  <c r="AF305" i="16"/>
  <c r="Z305" i="16"/>
  <c r="AB73" i="23"/>
  <c r="AB21" i="23"/>
  <c r="AF459" i="16"/>
  <c r="Z483" i="16"/>
  <c r="AF483" i="16"/>
  <c r="AE102" i="17"/>
  <c r="Z102" i="17"/>
  <c r="AE29" i="17"/>
  <c r="Z29" i="17"/>
  <c r="M87" i="21"/>
  <c r="J87" i="21"/>
  <c r="N244" i="21"/>
  <c r="K244" i="21"/>
  <c r="N79" i="21"/>
  <c r="K79" i="21"/>
  <c r="N419" i="21"/>
  <c r="K419" i="21"/>
  <c r="Z524" i="16"/>
  <c r="K536" i="21"/>
  <c r="N536" i="21"/>
  <c r="AM6" i="7"/>
  <c r="Y13" i="16"/>
  <c r="J13" i="21"/>
  <c r="M13" i="21"/>
  <c r="Z162" i="16"/>
  <c r="K162" i="21"/>
  <c r="N162" i="21"/>
  <c r="AJ39" i="7"/>
  <c r="AL39" i="7"/>
  <c r="Z124" i="16"/>
  <c r="AF124" i="16"/>
  <c r="AO33" i="8"/>
  <c r="AE33" i="8"/>
  <c r="AG33" i="8"/>
  <c r="AJ13" i="7"/>
  <c r="AL13" i="7"/>
  <c r="N173" i="21"/>
  <c r="K173" i="21"/>
  <c r="Z11" i="16"/>
  <c r="AF11" i="16"/>
  <c r="Z465" i="16"/>
  <c r="AF465" i="16"/>
  <c r="T34" i="7"/>
  <c r="AO34" i="8"/>
  <c r="AE34" i="8"/>
  <c r="AG34" i="8"/>
  <c r="Z452" i="16"/>
  <c r="K452" i="21"/>
  <c r="N452" i="21"/>
  <c r="Z415" i="16"/>
  <c r="AF415" i="16"/>
  <c r="AF176" i="16"/>
  <c r="Z176" i="16"/>
  <c r="Y48" i="16"/>
  <c r="J48" i="21"/>
  <c r="M48" i="21"/>
  <c r="AP11" i="9"/>
  <c r="AF11" i="9"/>
  <c r="N355" i="21"/>
  <c r="K355" i="21"/>
  <c r="Z112" i="16"/>
  <c r="AF112" i="16"/>
  <c r="Z120" i="16"/>
  <c r="AF120" i="16"/>
  <c r="Z407" i="16"/>
  <c r="AF407" i="16"/>
  <c r="N15" i="7"/>
  <c r="N15" i="9"/>
  <c r="T15" i="9"/>
  <c r="AM15" i="9"/>
  <c r="Z108" i="16"/>
  <c r="K108" i="21"/>
  <c r="N108" i="21"/>
  <c r="N330" i="21"/>
  <c r="K330" i="21"/>
  <c r="Z477" i="16"/>
  <c r="AF477" i="16"/>
  <c r="Z10" i="16"/>
  <c r="K10" i="21"/>
  <c r="N10" i="21"/>
  <c r="AE139" i="17"/>
  <c r="Z139" i="17"/>
  <c r="M21" i="21"/>
  <c r="J21" i="21"/>
  <c r="N315" i="21"/>
  <c r="K315" i="21"/>
  <c r="AE81" i="17"/>
  <c r="Z81" i="17"/>
  <c r="N388" i="21"/>
  <c r="K388" i="21"/>
  <c r="Z459" i="16"/>
  <c r="K459" i="21"/>
  <c r="N459" i="21"/>
  <c r="AO45" i="8"/>
  <c r="AE45" i="8"/>
  <c r="AB45" i="23"/>
  <c r="AB97" i="23"/>
  <c r="AK8" i="8"/>
  <c r="AK8" i="6"/>
  <c r="AK8" i="7"/>
  <c r="AK8" i="9"/>
  <c r="Z486" i="16"/>
  <c r="AF486" i="16"/>
  <c r="AO22" i="8"/>
  <c r="AE22" i="8"/>
  <c r="AB22" i="23"/>
  <c r="AB74" i="23"/>
  <c r="N52" i="21"/>
  <c r="K52" i="21"/>
  <c r="N515" i="21"/>
  <c r="K515" i="21"/>
  <c r="N270" i="21"/>
  <c r="K270" i="21"/>
  <c r="AE10" i="17"/>
  <c r="Z10" i="17"/>
  <c r="AF157" i="16"/>
  <c r="N100" i="23"/>
  <c r="N48" i="23"/>
  <c r="AL32" i="7"/>
  <c r="N115" i="21"/>
  <c r="K115" i="21"/>
  <c r="N127" i="21"/>
  <c r="K127" i="21"/>
  <c r="N282" i="21"/>
  <c r="K282" i="21"/>
  <c r="AF258" i="16"/>
  <c r="AM49" i="9"/>
  <c r="T49" i="9"/>
  <c r="N49" i="9"/>
  <c r="N109" i="21"/>
  <c r="K109" i="21"/>
  <c r="AM18" i="9"/>
  <c r="T18" i="9"/>
  <c r="N18" i="9"/>
  <c r="AF446" i="16"/>
  <c r="AB12" i="21"/>
  <c r="N262" i="21"/>
  <c r="K262" i="21"/>
  <c r="AJ42" i="6"/>
  <c r="AJ42" i="7"/>
  <c r="AL42" i="7"/>
  <c r="Z136" i="16"/>
  <c r="AF136" i="16"/>
  <c r="R27" i="28"/>
  <c r="U27" i="28"/>
  <c r="M182" i="21"/>
  <c r="J182" i="21"/>
  <c r="AJ49" i="6"/>
  <c r="N49" i="6"/>
  <c r="N49" i="7"/>
  <c r="T49" i="7"/>
  <c r="AP49" i="8"/>
  <c r="AF49" i="8"/>
  <c r="AC49" i="23"/>
  <c r="AC101" i="23"/>
  <c r="Z73" i="16"/>
  <c r="K73" i="21"/>
  <c r="N73" i="21"/>
  <c r="Z260" i="16"/>
  <c r="K260" i="21"/>
  <c r="N260" i="21"/>
  <c r="Z228" i="16"/>
  <c r="AF228" i="16"/>
  <c r="Y43" i="16"/>
  <c r="AE43" i="16"/>
  <c r="Z139" i="16"/>
  <c r="K139" i="21"/>
  <c r="N139" i="21"/>
  <c r="Z457" i="16"/>
  <c r="AF457" i="16"/>
  <c r="AJ34" i="6"/>
  <c r="N34" i="6"/>
  <c r="N34" i="7"/>
  <c r="N34" i="8"/>
  <c r="T34" i="8"/>
  <c r="AM34" i="8"/>
  <c r="N17" i="8"/>
  <c r="T17" i="8"/>
  <c r="AM17" i="8"/>
  <c r="AF276" i="16"/>
  <c r="Z276" i="16"/>
  <c r="Z462" i="16"/>
  <c r="AF462" i="16"/>
  <c r="AE186" i="16"/>
  <c r="Y186" i="16"/>
  <c r="AL25" i="8"/>
  <c r="AJ25" i="8"/>
  <c r="N140" i="21"/>
  <c r="K140" i="21"/>
  <c r="AP30" i="9"/>
  <c r="AF30" i="9"/>
  <c r="AE68" i="17"/>
  <c r="Z68" i="17"/>
  <c r="AM46" i="7"/>
  <c r="Z406" i="16"/>
  <c r="AF406" i="16"/>
  <c r="AE34" i="17"/>
  <c r="Z34" i="17"/>
  <c r="Z433" i="16"/>
  <c r="AF433" i="16"/>
  <c r="Z125" i="16"/>
  <c r="K125" i="21"/>
  <c r="N125" i="21"/>
  <c r="AE188" i="17"/>
  <c r="Z188" i="17"/>
  <c r="Z521" i="16"/>
  <c r="AF521" i="16"/>
  <c r="Z419" i="16"/>
  <c r="AF419" i="16"/>
  <c r="Z74" i="16"/>
  <c r="AF74" i="16"/>
  <c r="AJ30" i="7"/>
  <c r="AJ30" i="8"/>
  <c r="AL30" i="8"/>
  <c r="AE99" i="17"/>
  <c r="Z99" i="17"/>
  <c r="AF351" i="16"/>
  <c r="Z351" i="16"/>
  <c r="Y17" i="16"/>
  <c r="J17" i="21"/>
  <c r="M17" i="21"/>
  <c r="U29" i="28"/>
  <c r="R29" i="28"/>
  <c r="N116" i="21"/>
  <c r="K116" i="21"/>
  <c r="AF167" i="16"/>
  <c r="Z167" i="16"/>
  <c r="AE152" i="17"/>
  <c r="Z152" i="17"/>
  <c r="AE195" i="17"/>
  <c r="Z195" i="17"/>
  <c r="AP53" i="9"/>
  <c r="AP55" i="9"/>
  <c r="AJ13" i="6"/>
  <c r="N13" i="6"/>
  <c r="N13" i="7"/>
  <c r="T13" i="7"/>
  <c r="AO13" i="8"/>
  <c r="AE13" i="8"/>
  <c r="AG13" i="8"/>
  <c r="AE76" i="17"/>
  <c r="Z76" i="17"/>
  <c r="N65" i="21"/>
  <c r="K65" i="21"/>
  <c r="AE93" i="16"/>
  <c r="N378" i="21"/>
  <c r="K378" i="21"/>
  <c r="E5" i="28"/>
  <c r="H5" i="28"/>
  <c r="H7" i="28"/>
  <c r="E7" i="28"/>
  <c r="AM30" i="8"/>
  <c r="T30" i="8"/>
  <c r="N30" i="8"/>
  <c r="Y146" i="16"/>
  <c r="AE146" i="16"/>
  <c r="AF63" i="23"/>
  <c r="AF11" i="23"/>
  <c r="N64" i="21"/>
  <c r="K64" i="21"/>
  <c r="AF20" i="16"/>
  <c r="AL50" i="7"/>
  <c r="M49" i="21"/>
  <c r="J49" i="21"/>
  <c r="N267" i="21"/>
  <c r="K267" i="21"/>
  <c r="R11" i="28"/>
  <c r="AM21" i="7"/>
  <c r="U11" i="28"/>
  <c r="T27" i="7"/>
  <c r="AO27" i="8"/>
  <c r="AE27" i="8"/>
  <c r="AG27" i="8"/>
  <c r="Z391" i="16"/>
  <c r="AF391" i="16"/>
  <c r="AM28" i="7"/>
  <c r="Z245" i="16"/>
  <c r="AF245" i="16"/>
  <c r="Y93" i="16"/>
  <c r="J93" i="21"/>
  <c r="M93" i="21"/>
  <c r="AF172" i="16"/>
  <c r="Z172" i="16"/>
  <c r="N376" i="21"/>
  <c r="K376" i="21"/>
  <c r="N296" i="21"/>
  <c r="K296" i="21"/>
  <c r="AE177" i="16"/>
  <c r="Y177" i="16"/>
  <c r="AF197" i="16"/>
  <c r="Z197" i="16"/>
  <c r="AF165" i="16"/>
  <c r="Z165" i="16"/>
  <c r="AK40" i="8"/>
  <c r="AK40" i="9"/>
  <c r="N16" i="21"/>
  <c r="K16" i="21"/>
  <c r="Z157" i="16"/>
  <c r="K157" i="21"/>
  <c r="N157" i="21"/>
  <c r="N337" i="21"/>
  <c r="K337" i="21"/>
  <c r="AF31" i="16"/>
  <c r="AE47" i="16"/>
  <c r="N64" i="23"/>
  <c r="N12" i="23"/>
  <c r="AJ32" i="6"/>
  <c r="AJ32" i="7"/>
  <c r="AJ32" i="8"/>
  <c r="AL32" i="8"/>
  <c r="N24" i="8"/>
  <c r="T24" i="8"/>
  <c r="AM24" i="8"/>
  <c r="T18" i="7"/>
  <c r="AO18" i="9"/>
  <c r="AE18" i="9"/>
  <c r="AG18" i="9"/>
  <c r="T30" i="7"/>
  <c r="AO30" i="8"/>
  <c r="AE30" i="8"/>
  <c r="AG30" i="8"/>
  <c r="AL51" i="7"/>
  <c r="AM33" i="8"/>
  <c r="T33" i="8"/>
  <c r="N33" i="8"/>
  <c r="M24" i="21"/>
  <c r="J24" i="21"/>
  <c r="AL28" i="7"/>
  <c r="AL25" i="7"/>
  <c r="Z116" i="16"/>
  <c r="AF116" i="16"/>
  <c r="R31" i="28"/>
  <c r="U31" i="28"/>
  <c r="Z75" i="16"/>
  <c r="AF75" i="16"/>
  <c r="AG24" i="9"/>
  <c r="AE24" i="9"/>
  <c r="AO24" i="9"/>
  <c r="N290" i="21"/>
  <c r="K290" i="21"/>
  <c r="AF248" i="16"/>
  <c r="N16" i="9"/>
  <c r="T16" i="9"/>
  <c r="AM16" i="9"/>
  <c r="N166" i="21"/>
  <c r="K166" i="21"/>
  <c r="Z258" i="16"/>
  <c r="K258" i="21"/>
  <c r="N258" i="21"/>
  <c r="Z20" i="16"/>
  <c r="K20" i="21"/>
  <c r="N20" i="21"/>
  <c r="N364" i="21"/>
  <c r="K364" i="21"/>
  <c r="AF196" i="16"/>
  <c r="Z196" i="16"/>
  <c r="AJ50" i="7"/>
  <c r="AJ50" i="8"/>
  <c r="AL50" i="8"/>
  <c r="M179" i="21"/>
  <c r="J179" i="21"/>
  <c r="AF246" i="16"/>
  <c r="AF542" i="16"/>
  <c r="AE147" i="16"/>
  <c r="AF498" i="16"/>
  <c r="AF164" i="16"/>
  <c r="AJ39" i="6"/>
  <c r="N39" i="6"/>
  <c r="N39" i="7"/>
  <c r="T39" i="7"/>
  <c r="AO39" i="9"/>
  <c r="AE39" i="9"/>
  <c r="AG39" i="9"/>
  <c r="AJ19" i="6"/>
  <c r="N19" i="6"/>
  <c r="N19" i="7"/>
  <c r="T19" i="7"/>
  <c r="AP19" i="8"/>
  <c r="AF19" i="8"/>
  <c r="AC19" i="23"/>
  <c r="AC71" i="23"/>
  <c r="AF382" i="16"/>
  <c r="Z382" i="16"/>
  <c r="Z537" i="16"/>
  <c r="AF537" i="16"/>
  <c r="AU6" i="16"/>
  <c r="AV6" i="16"/>
  <c r="N340" i="21"/>
  <c r="Z227" i="16"/>
  <c r="K340" i="21"/>
  <c r="AL33" i="8"/>
  <c r="AJ33" i="8"/>
  <c r="AF390" i="16"/>
  <c r="Z446" i="16"/>
  <c r="K446" i="21"/>
  <c r="N446" i="21"/>
  <c r="Z80" i="16"/>
  <c r="AF80" i="16"/>
  <c r="N6" i="7"/>
  <c r="T6" i="7"/>
  <c r="AO6" i="8"/>
  <c r="AE6" i="8"/>
  <c r="AG6" i="8"/>
  <c r="N28" i="6"/>
  <c r="N28" i="7"/>
  <c r="T28" i="7"/>
  <c r="AP28" i="9"/>
  <c r="AF28" i="9"/>
  <c r="AF538" i="16"/>
  <c r="AM18" i="8"/>
  <c r="T18" i="8"/>
  <c r="AJ18" i="6"/>
  <c r="N18" i="6"/>
  <c r="N18" i="7"/>
  <c r="N18" i="8"/>
  <c r="AF309" i="16"/>
  <c r="Z309" i="16"/>
  <c r="AE153" i="17"/>
  <c r="Z153" i="17"/>
  <c r="Z197" i="17"/>
  <c r="AE197" i="17"/>
  <c r="AE178" i="17"/>
  <c r="Z178" i="17"/>
  <c r="AL31" i="7"/>
  <c r="AF395" i="16"/>
  <c r="AO12" i="8"/>
  <c r="AE12" i="8"/>
  <c r="AG12" i="8"/>
  <c r="AG20" i="8"/>
  <c r="AK6" i="9"/>
  <c r="AK6" i="8"/>
  <c r="U9" i="28"/>
  <c r="R9" i="28"/>
  <c r="Y21" i="16"/>
  <c r="AE21" i="16"/>
  <c r="Z536" i="16"/>
  <c r="AF536" i="16"/>
  <c r="AJ8" i="6"/>
  <c r="N8" i="6"/>
  <c r="N8" i="7"/>
  <c r="T8" i="7"/>
  <c r="AP8" i="9"/>
  <c r="AF8" i="9"/>
  <c r="AK40" i="6"/>
  <c r="AK40" i="7"/>
  <c r="AG40" i="23"/>
  <c r="AG92" i="23"/>
  <c r="AE4" i="17"/>
  <c r="Z4" i="17"/>
  <c r="AJ30" i="6"/>
  <c r="N30" i="6"/>
  <c r="N30" i="7"/>
  <c r="L67" i="6"/>
  <c r="N275" i="21"/>
  <c r="K275" i="21"/>
  <c r="Z31" i="16"/>
  <c r="K31" i="21"/>
  <c r="N31" i="21"/>
  <c r="Y47" i="16"/>
  <c r="J47" i="21"/>
  <c r="M47" i="21"/>
  <c r="Y142" i="16"/>
  <c r="AE142" i="16"/>
  <c r="AF206" i="16"/>
  <c r="Z206" i="16"/>
  <c r="N501" i="21"/>
  <c r="K501" i="21"/>
  <c r="N199" i="21"/>
  <c r="K199" i="21"/>
  <c r="AJ51" i="6"/>
  <c r="AJ51" i="7"/>
  <c r="AJ51" i="9"/>
  <c r="AL51" i="9"/>
  <c r="AE129" i="17"/>
  <c r="Z129" i="17"/>
  <c r="AP53" i="8"/>
  <c r="AP55" i="8"/>
  <c r="T21" i="7"/>
  <c r="AO21" i="8"/>
  <c r="AE21" i="8"/>
  <c r="AG21" i="8"/>
  <c r="AJ28" i="6"/>
  <c r="AJ28" i="7"/>
  <c r="AJ28" i="8"/>
  <c r="AL28" i="8"/>
  <c r="AF317" i="16"/>
  <c r="Z317" i="16"/>
  <c r="K226" i="21"/>
  <c r="N226" i="21"/>
  <c r="AJ25" i="7"/>
  <c r="AJ25" i="9"/>
  <c r="AL25" i="9"/>
  <c r="AL33" i="7"/>
  <c r="Z16" i="16"/>
  <c r="AF16" i="16"/>
  <c r="Z248" i="16"/>
  <c r="K248" i="21"/>
  <c r="N248" i="21"/>
  <c r="AF255" i="16"/>
  <c r="AE19" i="16"/>
  <c r="H9" i="28"/>
  <c r="H12" i="28"/>
  <c r="E9" i="28"/>
  <c r="E12" i="28"/>
  <c r="AJ27" i="6"/>
  <c r="N27" i="6"/>
  <c r="N27" i="7"/>
  <c r="N27" i="9"/>
  <c r="T27" i="9"/>
  <c r="AM27" i="9"/>
  <c r="AK53" i="8"/>
  <c r="AL38" i="7"/>
  <c r="U21" i="28"/>
  <c r="R21" i="28"/>
  <c r="R26" i="28"/>
  <c r="U16" i="28"/>
  <c r="U26" i="28"/>
  <c r="R16" i="28"/>
  <c r="Z364" i="16"/>
  <c r="AF364" i="16"/>
  <c r="Z246" i="16"/>
  <c r="K246" i="21"/>
  <c r="N246" i="21"/>
  <c r="Z542" i="16"/>
  <c r="K542" i="21"/>
  <c r="N542" i="21"/>
  <c r="Y147" i="16"/>
  <c r="J147" i="21"/>
  <c r="M147" i="21"/>
  <c r="Z498" i="16"/>
  <c r="K498" i="21"/>
  <c r="N498" i="21"/>
  <c r="Z164" i="16"/>
  <c r="K223" i="21"/>
  <c r="N223" i="21"/>
  <c r="AF230" i="16"/>
  <c r="AE152" i="16"/>
  <c r="AL16" i="7"/>
  <c r="Z390" i="16"/>
  <c r="K390" i="21"/>
  <c r="N390" i="21"/>
  <c r="Z384" i="16"/>
  <c r="AF384" i="16"/>
  <c r="AK7" i="6"/>
  <c r="AK55" i="6"/>
  <c r="AK60" i="6"/>
  <c r="AK6" i="7"/>
  <c r="AG6" i="23"/>
  <c r="AG58" i="23"/>
  <c r="Z65" i="16"/>
  <c r="AF65" i="16"/>
  <c r="Z52" i="16"/>
  <c r="AF52" i="16"/>
  <c r="I10" i="28"/>
  <c r="F10" i="28"/>
  <c r="N31" i="6"/>
  <c r="N31" i="7"/>
  <c r="N31" i="23"/>
  <c r="N83" i="23"/>
  <c r="AJ50" i="6"/>
  <c r="N50" i="6"/>
  <c r="N50" i="7"/>
  <c r="T50" i="7"/>
  <c r="AM50" i="7"/>
  <c r="Z538" i="16"/>
  <c r="K538" i="21"/>
  <c r="N538" i="21"/>
  <c r="AJ46" i="6"/>
  <c r="N46" i="6"/>
  <c r="N46" i="7"/>
  <c r="T46" i="7"/>
  <c r="AP46" i="8"/>
  <c r="AF46" i="8"/>
  <c r="AC46" i="23"/>
  <c r="AC98" i="23"/>
  <c r="Z515" i="16"/>
  <c r="AF515" i="16"/>
  <c r="AJ25" i="6"/>
  <c r="N25" i="6"/>
  <c r="N25" i="7"/>
  <c r="T25" i="7"/>
  <c r="AO25" i="8"/>
  <c r="AE25" i="8"/>
  <c r="AG25" i="8"/>
  <c r="AJ31" i="6"/>
  <c r="AJ31" i="7"/>
  <c r="AJ31" i="8"/>
  <c r="AL31" i="8"/>
  <c r="AJ47" i="6"/>
  <c r="N47" i="6"/>
  <c r="N47" i="7"/>
  <c r="T47" i="7"/>
  <c r="AM47" i="7"/>
  <c r="Z395" i="16"/>
  <c r="K395" i="21"/>
  <c r="N395" i="21"/>
  <c r="AJ29" i="6"/>
  <c r="N29" i="6"/>
  <c r="N29" i="7"/>
  <c r="N29" i="9"/>
  <c r="T29" i="9"/>
  <c r="AM29" i="9"/>
  <c r="AE6" i="17"/>
  <c r="Z6" i="17"/>
  <c r="AJ23" i="6"/>
  <c r="N23" i="6"/>
  <c r="N23" i="7"/>
  <c r="T23" i="7"/>
  <c r="AM23" i="7"/>
  <c r="Z105" i="17"/>
  <c r="AE105" i="17"/>
  <c r="AO20" i="8"/>
  <c r="AE20" i="8"/>
  <c r="AB20" i="23"/>
  <c r="AB72" i="23"/>
  <c r="AJ21" i="6"/>
  <c r="N21" i="6"/>
  <c r="N21" i="7"/>
  <c r="N21" i="8"/>
  <c r="T21" i="8"/>
  <c r="AM21" i="8"/>
  <c r="Y106" i="16"/>
  <c r="AE106" i="16"/>
  <c r="Z502" i="16"/>
  <c r="AF502" i="16"/>
  <c r="Y24" i="16"/>
  <c r="AE24" i="16"/>
  <c r="Y87" i="16"/>
  <c r="AE87" i="16"/>
  <c r="I6" i="28"/>
  <c r="F5" i="28"/>
  <c r="F6" i="28"/>
  <c r="N7" i="7"/>
  <c r="T7" i="7"/>
  <c r="AM7" i="7"/>
  <c r="I5" i="28"/>
  <c r="AP12" i="9"/>
  <c r="AF12" i="9"/>
  <c r="Z62" i="16"/>
  <c r="AF62" i="16"/>
  <c r="F11" i="28"/>
  <c r="I11" i="28"/>
  <c r="AO33" i="9"/>
  <c r="AE33" i="9"/>
  <c r="AG33" i="9"/>
  <c r="AE121" i="17"/>
  <c r="Z121" i="17"/>
  <c r="N16" i="7"/>
  <c r="T16" i="7"/>
  <c r="AP16" i="8"/>
  <c r="AF16" i="8"/>
  <c r="AC16" i="23"/>
  <c r="AC68" i="23"/>
  <c r="Z80" i="17"/>
  <c r="AE80" i="17"/>
  <c r="Z501" i="16"/>
  <c r="AF501" i="16"/>
  <c r="Z244" i="16"/>
  <c r="AF244" i="16"/>
  <c r="Z115" i="16"/>
  <c r="AF115" i="16"/>
  <c r="AJ11" i="7"/>
  <c r="AL11" i="7"/>
  <c r="Z127" i="16"/>
  <c r="AF127" i="16"/>
  <c r="Z64" i="16"/>
  <c r="AF64" i="16"/>
  <c r="Z79" i="16"/>
  <c r="AF79" i="16"/>
  <c r="Z155" i="17"/>
  <c r="AE155" i="17"/>
  <c r="AJ33" i="7"/>
  <c r="AJ33" i="9"/>
  <c r="AL33" i="9"/>
  <c r="Z255" i="16"/>
  <c r="K255" i="21"/>
  <c r="N255" i="21"/>
  <c r="N5" i="7"/>
  <c r="T5" i="7"/>
  <c r="AM5" i="7"/>
  <c r="Y19" i="16"/>
  <c r="J19" i="21"/>
  <c r="M19" i="21"/>
  <c r="Y215" i="16"/>
  <c r="AE215" i="16"/>
  <c r="T45" i="7"/>
  <c r="AM45" i="7"/>
  <c r="Z420" i="16"/>
  <c r="AF420" i="16"/>
  <c r="N12" i="8"/>
  <c r="T12" i="8"/>
  <c r="AM12" i="8"/>
  <c r="AJ38" i="6"/>
  <c r="AJ38" i="7"/>
  <c r="AF38" i="23"/>
  <c r="AF90" i="23"/>
  <c r="Z318" i="16"/>
  <c r="AF318" i="16"/>
  <c r="AJ33" i="6"/>
  <c r="N33" i="6"/>
  <c r="N33" i="7"/>
  <c r="T33" i="7"/>
  <c r="AM33" i="7"/>
  <c r="Z183" i="17"/>
  <c r="AE183" i="17"/>
  <c r="AJ45" i="6"/>
  <c r="N45" i="6"/>
  <c r="N45" i="7"/>
  <c r="L68" i="6"/>
  <c r="Y49" i="16"/>
  <c r="AE49" i="16"/>
  <c r="AJ12" i="6"/>
  <c r="N12" i="6"/>
  <c r="N12" i="7"/>
  <c r="T12" i="7"/>
  <c r="AM12" i="7"/>
  <c r="Z140" i="16"/>
  <c r="AF140" i="16"/>
  <c r="AJ11" i="6"/>
  <c r="N11" i="6"/>
  <c r="N11" i="7"/>
  <c r="T11" i="7"/>
  <c r="AM11" i="7"/>
  <c r="Z109" i="16"/>
  <c r="AF109" i="16"/>
  <c r="Z230" i="16"/>
  <c r="K230" i="21"/>
  <c r="N230" i="21"/>
  <c r="N7" i="6"/>
  <c r="N55" i="6"/>
  <c r="N60" i="6"/>
  <c r="N10" i="7"/>
  <c r="T10" i="7"/>
  <c r="AM10" i="7"/>
  <c r="Y152" i="16"/>
  <c r="J178" i="21"/>
  <c r="M178" i="21"/>
  <c r="AJ22" i="6"/>
  <c r="N22" i="6"/>
  <c r="N22" i="7"/>
  <c r="T22" i="7"/>
  <c r="AM22" i="7"/>
  <c r="Z286" i="16"/>
  <c r="AF286" i="16"/>
  <c r="N63" i="6"/>
  <c r="AJ7" i="6"/>
  <c r="AJ55" i="6"/>
  <c r="AJ60" i="6"/>
  <c r="AJ16" i="7"/>
  <c r="AJ16" i="8"/>
  <c r="AL16" i="8"/>
  <c r="AJ20" i="6"/>
  <c r="N20" i="6"/>
  <c r="N20" i="7"/>
  <c r="T20" i="7"/>
  <c r="AM20" i="7"/>
  <c r="Z262" i="16"/>
  <c r="AF262" i="16"/>
  <c r="AJ24" i="6"/>
  <c r="N24" i="6"/>
  <c r="N24" i="7"/>
  <c r="T24" i="7"/>
  <c r="AM24" i="7"/>
  <c r="Z314" i="16"/>
  <c r="AF314" i="16"/>
  <c r="AJ48" i="6"/>
  <c r="N48" i="6"/>
  <c r="N48" i="7"/>
  <c r="T48" i="7"/>
  <c r="AM48" i="7"/>
  <c r="Z463" i="16"/>
  <c r="AF463" i="16"/>
  <c r="AJ17" i="6"/>
  <c r="N17" i="6"/>
  <c r="N17" i="7"/>
  <c r="L66" i="6"/>
  <c r="L64" i="6"/>
  <c r="L70" i="6"/>
  <c r="N64" i="6"/>
  <c r="AJ40" i="6"/>
  <c r="N40" i="6"/>
  <c r="N40" i="7"/>
  <c r="N40" i="8"/>
  <c r="T40" i="8"/>
  <c r="AM4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A8A81565-FEB2-4FB1-9471-06FF78D5434E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1309A-D65D-4868-BDB1-708916F63437}" name="Conexão" type="7" refreshedVersion="8" background="1" saveData="1"/>
  <connection id="2" xr16:uid="{4496B58F-2BAD-4A03-B327-4872A0E678B9}" name="Conexão1" type="7" refreshedVersion="8" background="1" saveData="1"/>
  <connection id="3" xr16:uid="{5D83B3E9-CF29-4914-9C8A-002AEACDBAA4}" name="Conexão2" type="7" refreshedVersion="8" background="1" saveData="1"/>
</connections>
</file>

<file path=xl/sharedStrings.xml><?xml version="1.0" encoding="utf-8"?>
<sst xmlns="http://schemas.openxmlformats.org/spreadsheetml/2006/main" count="24796" uniqueCount="1123">
  <si>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</si>
  <si>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</si>
  <si>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</si>
  <si>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</si>
  <si>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</si>
  <si>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</si>
  <si>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</si>
  <si>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</si>
  <si>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</si>
  <si>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</si>
  <si>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</si>
  <si>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</si>
  <si>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</si>
  <si>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</si>
  <si>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</si>
  <si>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</si>
  <si>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</si>
  <si>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</si>
  <si>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</si>
  <si>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</si>
  <si>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</si>
  <si>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</si>
  <si>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</si>
  <si>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</si>
  <si>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</si>
  <si>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</si>
  <si>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</si>
  <si>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</si>
  <si>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</si>
  <si>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</si>
  <si>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</si>
  <si>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</si>
  <si>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</si>
  <si>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</si>
  <si>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</si>
  <si>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</si>
  <si>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</si>
  <si>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</si>
  <si>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</si>
  <si>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</si>
  <si>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</si>
  <si>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Branca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</si>
  <si>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</si>
  <si>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</si>
  <si>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</si>
  <si>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</si>
  <si>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</si>
  <si>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</si>
  <si>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</si>
  <si>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</si>
  <si>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</si>
  <si>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</si>
  <si>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</si>
  <si>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</si>
  <si>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</si>
  <si>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</si>
  <si>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</si>
  <si>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</si>
  <si>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</si>
  <si>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</si>
  <si>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</si>
  <si>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</si>
  <si>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</si>
  <si>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</si>
  <si>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</si>
  <si>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</si>
  <si>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</si>
  <si>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</si>
  <si>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</si>
  <si>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</si>
  <si>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</si>
  <si>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</si>
  <si>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</si>
  <si>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</si>
  <si>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</si>
  <si>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</si>
  <si>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</si>
  <si>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</si>
  <si>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</si>
  <si>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</si>
  <si>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</si>
  <si>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</si>
  <si>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</si>
  <si>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</si>
  <si>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</si>
  <si>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</si>
  <si>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</si>
  <si>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</si>
  <si>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</si>
  <si>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</si>
  <si>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</si>
  <si>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</si>
  <si>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</si>
  <si>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</si>
  <si>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</si>
  <si>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</si>
  <si>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</si>
  <si>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</si>
  <si>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</si>
  <si>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</si>
  <si>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</si>
  <si>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</si>
  <si>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</si>
  <si>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</si>
  <si>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</si>
  <si>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</si>
  <si>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</si>
  <si>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</si>
  <si>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</si>
  <si>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</si>
  <si>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</si>
  <si>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</si>
  <si>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</si>
  <si>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</si>
  <si>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</si>
  <si>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</si>
  <si>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</si>
  <si>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</si>
  <si>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</si>
  <si>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</si>
  <si>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</si>
  <si>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</si>
  <si>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</si>
  <si>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</si>
  <si>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</si>
  <si>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</si>
  <si>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</si>
  <si>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</si>
  <si>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</si>
  <si>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</si>
  <si>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</si>
  <si>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</si>
  <si>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</si>
  <si>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</si>
  <si>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</si>
  <si>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</si>
  <si>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</si>
  <si>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</si>
  <si>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</si>
  <si>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</si>
  <si>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</si>
  <si>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</si>
  <si>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</si>
  <si>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</si>
  <si>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</si>
  <si>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</si>
  <si>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</si>
  <si>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</si>
  <si>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</si>
  <si>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</si>
  <si>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</si>
  <si>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</si>
  <si>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</si>
  <si>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</si>
  <si>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</si>
  <si>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</si>
  <si>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</si>
  <si>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</si>
  <si>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</si>
  <si>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</si>
  <si>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</si>
  <si>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</si>
  <si>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</si>
  <si>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</si>
  <si>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</si>
  <si>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</si>
  <si>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</si>
  <si>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</si>
  <si>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</si>
  <si>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</si>
  <si>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</si>
  <si>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</si>
  <si>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</si>
  <si>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</si>
  <si>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</si>
  <si>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</si>
  <si>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</si>
  <si>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</si>
  <si>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</si>
  <si>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</si>
  <si>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</si>
  <si>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</si>
  <si>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</si>
  <si>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</si>
  <si>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</si>
  <si>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</si>
  <si>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</si>
  <si>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</si>
  <si>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</si>
  <si>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</si>
  <si>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</si>
  <si>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</si>
  <si>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</si>
  <si>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</si>
  <si>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</si>
  <si>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</si>
  <si>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</si>
  <si>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</si>
  <si>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</si>
  <si>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</si>
  <si>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</si>
  <si>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</si>
  <si>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</si>
  <si>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</si>
  <si>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</si>
  <si>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</si>
  <si>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</si>
  <si>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</si>
  <si>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</si>
  <si>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</si>
  <si>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</si>
  <si>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</si>
  <si>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</si>
  <si>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</si>
  <si>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</si>
  <si>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</si>
  <si>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</si>
  <si>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</si>
  <si>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</si>
  <si>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</si>
  <si>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</si>
  <si>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</si>
  <si>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</si>
  <si>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</si>
  <si>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</si>
  <si>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</si>
  <si>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</si>
  <si>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</si>
  <si>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</si>
  <si>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</si>
  <si>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</si>
  <si>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</si>
  <si>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</si>
  <si>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</si>
  <si>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</si>
  <si>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</si>
  <si>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</si>
  <si>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</si>
  <si>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</si>
  <si>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</si>
  <si>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</si>
  <si>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</si>
  <si>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</si>
  <si>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</si>
  <si>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</si>
  <si>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</si>
  <si>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</si>
  <si>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</si>
  <si>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</si>
  <si>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</si>
  <si>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</si>
  <si>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</si>
  <si>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</si>
  <si>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</si>
  <si>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</si>
  <si>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</si>
  <si>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</si>
  <si>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</si>
  <si>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</si>
  <si>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</si>
  <si>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</si>
  <si>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</si>
  <si>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</si>
  <si>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</si>
  <si>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</si>
  <si>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</si>
  <si>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</si>
  <si>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</si>
  <si>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</si>
  <si>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</si>
  <si>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</si>
  <si>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</si>
  <si>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</si>
  <si>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</si>
  <si>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</si>
  <si>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</si>
  <si>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</si>
  <si>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</si>
  <si>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</si>
  <si>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</si>
  <si>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</si>
  <si>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</si>
  <si>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</si>
  <si>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</si>
  <si>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</si>
  <si>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</si>
  <si>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</si>
  <si>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</si>
  <si>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</si>
  <si>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</si>
  <si>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</si>
  <si>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</si>
  <si>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</si>
  <si>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</si>
  <si>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</si>
  <si>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</si>
  <si>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</si>
  <si>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</si>
  <si>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</si>
  <si>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</si>
  <si>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</si>
  <si>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</si>
  <si>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</si>
  <si>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</si>
  <si>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</si>
  <si>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</si>
  <si>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</si>
  <si>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</si>
  <si>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</si>
  <si>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</si>
  <si>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</si>
  <si>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</si>
  <si>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</si>
  <si>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</si>
  <si>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</si>
  <si>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</si>
  <si>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</si>
  <si>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</si>
  <si>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</si>
  <si>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</si>
  <si>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</si>
  <si>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</si>
  <si>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</si>
  <si>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</si>
  <si>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</si>
  <si>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</si>
  <si>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</si>
  <si>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</si>
  <si>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</si>
  <si>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</si>
  <si>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</si>
  <si>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</si>
  <si>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</si>
  <si>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</si>
  <si>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</si>
  <si>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</si>
  <si>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</si>
  <si>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</si>
  <si>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</si>
  <si>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</si>
  <si>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</si>
  <si>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</si>
  <si>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</si>
  <si>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</si>
  <si>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</si>
  <si>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</si>
  <si>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</si>
  <si>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</si>
  <si>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</si>
  <si>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</si>
  <si>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</si>
  <si>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</si>
  <si>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</si>
  <si>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</si>
  <si>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</si>
  <si>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</si>
  <si>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</si>
  <si>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</si>
  <si>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</si>
  <si>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</si>
  <si>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</si>
  <si>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</si>
  <si>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</si>
  <si>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</si>
  <si>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</si>
  <si>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</si>
  <si>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</si>
  <si>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</si>
  <si>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</si>
  <si>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</si>
  <si>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</si>
  <si>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</si>
  <si>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</si>
  <si>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</si>
  <si>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</si>
  <si>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</si>
  <si>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</si>
  <si>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</si>
  <si>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</si>
  <si>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</si>
  <si>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</si>
  <si>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</si>
  <si>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</si>
  <si>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</si>
  <si>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</si>
  <si>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</si>
  <si>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</si>
  <si>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</si>
  <si>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</si>
  <si>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</si>
  <si>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</si>
  <si>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</si>
  <si>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</si>
  <si>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</si>
  <si>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</si>
  <si>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</si>
  <si>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</si>
  <si>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</si>
  <si>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</si>
  <si>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</si>
  <si>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</si>
  <si>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</si>
  <si>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</si>
  <si>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</si>
  <si>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</si>
  <si>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</si>
  <si>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</si>
  <si>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</si>
  <si>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</si>
  <si>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</si>
  <si>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</si>
  <si>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</si>
  <si>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</si>
  <si>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</si>
  <si>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</si>
  <si>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</si>
  <si>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</si>
  <si>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</si>
  <si>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</si>
  <si>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</si>
  <si>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</si>
  <si>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</si>
  <si>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</si>
  <si>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</si>
  <si>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</si>
  <si>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</si>
  <si>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</si>
  <si>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</si>
  <si>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</si>
  <si>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</si>
  <si>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</si>
  <si>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</si>
  <si>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</si>
  <si>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</si>
  <si>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</si>
  <si>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</si>
  <si>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</si>
  <si>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</si>
  <si>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</si>
  <si>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</si>
  <si>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</si>
  <si>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</si>
  <si>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</si>
  <si>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</si>
  <si>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</si>
  <si>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</si>
  <si>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</si>
  <si>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</si>
  <si>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</si>
  <si>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</si>
  <si>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</si>
  <si>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</si>
  <si>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</si>
  <si>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</si>
  <si>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</si>
  <si>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</si>
  <si>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</si>
  <si>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</si>
  <si>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</si>
  <si>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</si>
  <si>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</si>
  <si>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</si>
  <si>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</si>
  <si>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</si>
  <si>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</si>
  <si>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</si>
  <si>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</si>
  <si>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</si>
  <si>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</si>
  <si>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</si>
  <si>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</si>
  <si>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</si>
  <si>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</si>
  <si>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</si>
  <si>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</si>
  <si>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</si>
  <si>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</si>
  <si>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</si>
  <si>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</si>
  <si>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</si>
  <si>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</si>
  <si>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</si>
  <si>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</si>
  <si>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</si>
  <si>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</si>
  <si>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</si>
  <si>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</si>
  <si>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</si>
  <si>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</si>
  <si>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</si>
  <si>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</si>
  <si>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</si>
  <si>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</si>
  <si>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</si>
  <si>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</si>
  <si>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</si>
  <si>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</si>
  <si>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</si>
  <si>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</si>
  <si>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</si>
  <si>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</si>
  <si>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</si>
  <si>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</si>
  <si>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</si>
  <si>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</si>
  <si>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</si>
  <si>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</si>
  <si>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</si>
  <si>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</si>
  <si>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</si>
  <si>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</si>
  <si>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</si>
  <si>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</si>
  <si>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</si>
  <si>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</si>
  <si>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</si>
  <si>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</si>
  <si>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</si>
  <si>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</si>
  <si>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</si>
  <si>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</si>
  <si>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</si>
  <si>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</si>
  <si>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</si>
  <si>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</si>
  <si>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</si>
  <si>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</si>
  <si>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</si>
  <si>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</si>
  <si>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</si>
  <si>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</si>
  <si>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</si>
  <si>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</si>
  <si>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</si>
  <si>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</si>
  <si>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</si>
  <si>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</si>
  <si>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</si>
  <si>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</si>
  <si>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</si>
  <si>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</si>
  <si>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</si>
  <si>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</si>
  <si>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</si>
  <si>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</si>
  <si>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</si>
  <si>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2.951,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</si>
  <si>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</si>
  <si>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</si>
  <si>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</si>
  <si>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</si>
  <si>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</si>
  <si>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</si>
  <si>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</si>
  <si>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</si>
  <si>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</si>
  <si>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</si>
  <si>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</si>
  <si>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</si>
  <si>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</si>
  <si>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</si>
  <si>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</si>
  <si>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</si>
  <si>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</si>
  <si>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</si>
  <si>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</si>
  <si>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</si>
  <si>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</si>
  <si>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</si>
  <si>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</si>
  <si>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</si>
  <si>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</si>
  <si>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</si>
  <si>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</si>
  <si>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</si>
  <si>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</si>
  <si>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</si>
  <si>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</si>
  <si>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</si>
  <si>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</si>
  <si>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</si>
  <si>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</si>
  <si>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</si>
  <si>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</si>
  <si>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</si>
  <si>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</si>
  <si>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</si>
  <si>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</si>
  <si>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</si>
  <si>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</si>
  <si>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</si>
  <si>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</si>
  <si>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</si>
  <si>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</si>
  <si>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</si>
  <si>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</si>
  <si>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</si>
  <si>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</si>
  <si>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</si>
  <si>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</si>
  <si>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</si>
  <si>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</si>
  <si>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</si>
  <si>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</si>
  <si>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</si>
  <si>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</si>
  <si>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</si>
  <si>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</si>
  <si>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</si>
  <si>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</si>
  <si>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</si>
  <si>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</si>
  <si>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</si>
  <si>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</si>
  <si>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</si>
  <si>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</si>
  <si>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</si>
  <si>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</si>
  <si>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</si>
  <si>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</si>
  <si>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</si>
  <si>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</si>
  <si>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</si>
  <si>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</si>
  <si>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</si>
  <si>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</si>
  <si>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</si>
  <si>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</si>
  <si>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</si>
  <si>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</si>
  <si>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</si>
  <si>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</si>
  <si>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</si>
  <si>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</si>
  <si>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</si>
  <si>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</si>
  <si>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</si>
  <si>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</si>
  <si>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</si>
  <si>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</si>
  <si>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</si>
  <si>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</si>
  <si>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</si>
  <si>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</si>
  <si>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</si>
  <si>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</si>
  <si>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</si>
  <si>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</si>
  <si>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ÁGUA, ESGOTO E SANEAMENTO</t>
  </si>
  <si>
    <t>SUBSIDIO BAIXA RENDA</t>
  </si>
  <si>
    <t>SUBSIDIO IRRIGANTE/AQUICULTOR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</si>
  <si>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</si>
  <si>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</si>
  <si>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</si>
  <si>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</si>
  <si>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</si>
  <si>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</si>
  <si>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</si>
  <si>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</si>
  <si>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</si>
  <si>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</si>
  <si>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</si>
  <si>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</si>
  <si>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</si>
  <si>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Verde1RuralNão se aplicaPlanilha CustoA4</t>
  </si>
  <si>
    <t>2021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</si>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</sst>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/>
    <xf numFmtId="2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40" fontId="8" fillId="3" borderId="14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7" xfId="0" applyNumberFormat="1" applyFont="1" applyFill="1" applyBorder="1"/>
    <xf numFmtId="4" fontId="11" fillId="6" borderId="12" xfId="0" applyNumberFormat="1" applyFont="1" applyFill="1" applyBorder="1"/>
    <xf numFmtId="4" fontId="11" fillId="6" borderId="18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19" xfId="0" applyNumberFormat="1" applyFont="1" applyFill="1" applyBorder="1"/>
    <xf numFmtId="4" fontId="11" fillId="6" borderId="10" xfId="0" applyNumberFormat="1" applyFont="1" applyFill="1" applyBorder="1"/>
    <xf numFmtId="4" fontId="11" fillId="6" borderId="16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8" xfId="0" applyNumberFormat="1" applyFont="1" applyFill="1" applyBorder="1" applyAlignment="1">
      <alignment horizontal="center"/>
    </xf>
    <xf numFmtId="4" fontId="11" fillId="6" borderId="18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11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5.1348201877602501E-4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9.6167496041636602E-2</c:v>
                </c:pt>
                <c:pt idx="6">
                  <c:v>1.7337868553018911E-2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2.0393854857948712E-2</c:v>
                </c:pt>
                <c:pt idx="13">
                  <c:v>0</c:v>
                </c:pt>
                <c:pt idx="14">
                  <c:v>0</c:v>
                </c:pt>
                <c:pt idx="15">
                  <c:v>5.8730633206499877E-2</c:v>
                </c:pt>
                <c:pt idx="16">
                  <c:v>0</c:v>
                </c:pt>
                <c:pt idx="17">
                  <c:v>0</c:v>
                </c:pt>
                <c:pt idx="18">
                  <c:v>-6.2251136909606099E-3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9-4C2B-9EF8-E84F016ABE8C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1.5198870337957706E-4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0.12664409467390492</c:v>
                </c:pt>
                <c:pt idx="6">
                  <c:v>2.4928384492570687E-2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5.5133285297269345E-2</c:v>
                </c:pt>
                <c:pt idx="13">
                  <c:v>0</c:v>
                </c:pt>
                <c:pt idx="14">
                  <c:v>0</c:v>
                </c:pt>
                <c:pt idx="15">
                  <c:v>-9.3694756992905356E-3</c:v>
                </c:pt>
                <c:pt idx="16">
                  <c:v>0</c:v>
                </c:pt>
                <c:pt idx="17">
                  <c:v>0</c:v>
                </c:pt>
                <c:pt idx="18">
                  <c:v>-2.0989770130878031E-3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9-4C2B-9EF8-E84F016ABE8C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1.5198870337957706E-4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0.12664409467390492</c:v>
                </c:pt>
                <c:pt idx="6">
                  <c:v>2.4928384492570687E-2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5.5133285297269345E-2</c:v>
                </c:pt>
                <c:pt idx="13">
                  <c:v>0</c:v>
                </c:pt>
                <c:pt idx="14">
                  <c:v>0</c:v>
                </c:pt>
                <c:pt idx="15">
                  <c:v>-9.3694756992905356E-3</c:v>
                </c:pt>
                <c:pt idx="16">
                  <c:v>0</c:v>
                </c:pt>
                <c:pt idx="17">
                  <c:v>0</c:v>
                </c:pt>
                <c:pt idx="18">
                  <c:v>-2.0989770130878031E-3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19-4C2B-9EF8-E84F016ABE8C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E19-4C2B-9EF8-E84F016ABE8C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E19-4C2B-9EF8-E84F016ABE8C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E19-4C2B-9EF8-E84F016AB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139376"/>
        <c:axId val="862139704"/>
      </c:radarChart>
      <c:catAx>
        <c:axId val="8621393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62139704"/>
        <c:crosses val="autoZero"/>
        <c:auto val="1"/>
        <c:lblAlgn val="ctr"/>
        <c:lblOffset val="100"/>
        <c:noMultiLvlLbl val="0"/>
      </c:catAx>
      <c:valAx>
        <c:axId val="862139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13937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-8.9536920858572872E-2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4-400D-99B2-1110522B2B3E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-9.0768083564021884E-2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4-400D-99B2-1110522B2B3E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-9.0768083564021884E-2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4-400D-99B2-1110522B2B3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494-400D-99B2-1110522B2B3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494-400D-99B2-1110522B2B3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494-400D-99B2-1110522B2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195120"/>
        <c:axId val="1152194792"/>
      </c:radarChart>
      <c:catAx>
        <c:axId val="1152195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52194792"/>
        <c:crosses val="autoZero"/>
        <c:auto val="1"/>
        <c:lblAlgn val="ctr"/>
        <c:lblOffset val="100"/>
        <c:noMultiLvlLbl val="0"/>
      </c:catAx>
      <c:valAx>
        <c:axId val="115219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19512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190501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E01275-323A-F3CF-EF3B-B2C918E4C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A7596A-42C5-B4D6-DA8B-19CEAF44C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818770254627" createdVersion="5" refreshedVersion="8" minRefreshableVersion="3" recordCount="547" xr:uid="{20552E50-B7E8-44C1-B366-87BB00AC5133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Verde"/>
        <s v="Convencional"/>
        <s v="Branca"/>
      </sharedItems>
    </cacheField>
    <cacheField name="Classe" numFmtId="0">
      <sharedItems count="8">
        <s v="Industrial"/>
        <s v="Comercial"/>
        <s v="Poder público"/>
        <s v="Rural"/>
        <s v="Serviço público"/>
        <s v="Residencial"/>
        <s v="Consumo próprio"/>
        <s v="Iluminação pública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21932"/>
    </cacheField>
    <cacheField name="Daj" numFmtId="40">
      <sharedItems containsSemiMixedTypes="0" containsString="0" containsNumber="1" minValue="0" maxValue="21932"/>
    </cacheField>
    <cacheField name="TUSD_E" numFmtId="40">
      <sharedItems containsSemiMixedTypes="0" containsString="0" containsNumber="1" minValue="-18.765000000000001" maxValue="6039.3620000000001"/>
    </cacheField>
    <cacheField name="TUSD_Eaj" numFmtId="40">
      <sharedItems containsSemiMixedTypes="0" containsString="0" containsNumber="1" minValue="-18.765000000000001" maxValue="6039.3620000000001"/>
    </cacheField>
    <cacheField name="TE_E" numFmtId="40">
      <sharedItems containsSemiMixedTypes="0" containsString="0" containsNumber="1" minValue="-18.765000000000001" maxValue="6039.3620000000001"/>
    </cacheField>
    <cacheField name="TE_Eaj" numFmtId="40">
      <sharedItems containsSemiMixedTypes="0" containsString="0" containsNumber="1" minValue="-18.765000000000001" maxValue="6039.3620000000001"/>
    </cacheField>
    <cacheField name="UC" numFmtId="40">
      <sharedItems containsSemiMixedTypes="0" containsString="0" containsNumber="1" containsInteger="1" minValue="0" maxValue="12091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54"/>
    </cacheField>
    <cacheField name="CóD. AUX. TUSD R$/MWh" numFmtId="40">
      <sharedItems containsSemiMixedTypes="0" containsString="0" containsNumber="1" containsInteger="1" minValue="0" maxValue="81"/>
    </cacheField>
    <cacheField name="CóD. AUX. TE R$/MWh" numFmtId="40">
      <sharedItems containsSemiMixedTypes="0" containsString="0" containsNumber="1" containsInteger="1" minValue="0" maxValue="87"/>
    </cacheField>
    <cacheField name="TUSD (R$/kW)" numFmtId="40">
      <sharedItems containsSemiMixedTypes="0" containsString="0" containsNumber="1" minValue="0" maxValue="108.71"/>
    </cacheField>
    <cacheField name="TUSD (R$/MWh)" numFmtId="40">
      <sharedItems containsSemiMixedTypes="0" containsString="0" containsNumber="1" minValue="0" maxValue="2676.16"/>
    </cacheField>
    <cacheField name="TE (R$/MWh)" numFmtId="40">
      <sharedItems containsSemiMixedTypes="0" containsString="0" containsNumber="1" minValue="0" maxValue="150.26"/>
    </cacheField>
    <cacheField name="TUSD (R$/kW) NOVA" numFmtId="40">
      <sharedItems containsString="0" containsBlank="1" containsNumber="1" minValue="37.721850071081427" maxValue="105.27132197002946"/>
    </cacheField>
    <cacheField name="TUSD (R$/MWh) NOVA" numFmtId="40">
      <sharedItems containsString="0" containsBlank="1" containsNumber="1" minValue="94.517694765168258" maxValue="2626.6795212185111"/>
    </cacheField>
    <cacheField name="TE (R$/MWh) NOVA" numFmtId="40">
      <sharedItems containsString="0" containsBlank="1" containsNumber="1" minValue="47.817929988029796" maxValue="136.62265710865657"/>
    </cacheField>
    <cacheField name="RA0 ou RV - TUSD (kW)" numFmtId="40">
      <sharedItems containsSemiMixedTypes="0" containsString="0" containsNumber="1" minValue="0" maxValue="756215.36"/>
    </cacheField>
    <cacheField name="RA0 ou RV - TUSD (MWh)" numFmtId="40">
      <sharedItems containsSemiMixedTypes="0" containsString="0" containsNumber="1" minValue="-9410.2722000000012" maxValue="1505704.7325599999"/>
    </cacheField>
    <cacheField name="RA0 ou RV - TE (MWh)" numFmtId="40">
      <sharedItems containsSemiMixedTypes="0" containsString="0" containsNumber="1" minValue="-2819.6288999999997" maxValue="907474.53411999997"/>
    </cacheField>
    <cacheField name="RA1 ou RRD - TUSD (kW)" numFmtId="40">
      <sharedItems containsSemiMixedTypes="0" containsString="0" containsNumber="1" minValue="0" maxValue="827315.61575895781"/>
    </cacheField>
    <cacheField name="RA1 ou RRD - TUSD (MWh)" numFmtId="40">
      <sharedItems containsSemiMixedTypes="0" containsString="0" containsNumber="1" minValue="-11075.342771170888" maxValue="1772126.8493462061"/>
    </cacheField>
    <cacheField name="RA1 ou RRD - TE (MWh)" numFmtId="40">
      <sharedItems containsSemiMixedTypes="0" containsString="0" containsNumber="1" minValue="-2563.7241606439406" maxValue="825113.68368105032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818870138886" createdVersion="5" refreshedVersion="8" minRefreshableVersion="3" recordCount="201" xr:uid="{D044F275-E831-4195-A72C-ACA94C0A34F8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Serviço público"/>
        <s v="Residencial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70"/>
    </cacheField>
    <cacheField name="Daj" numFmtId="40">
      <sharedItems containsSemiMixedTypes="0" containsString="0" containsNumber="1" minValue="0" maxValue="163.19999999999999"/>
    </cacheField>
    <cacheField name="TUSD_E" numFmtId="40">
      <sharedItems containsSemiMixedTypes="0" containsString="0" containsNumber="1" minValue="-5.9180000000000001" maxValue="2353.8519999999999"/>
    </cacheField>
    <cacheField name="TUSD_Eaj" numFmtId="40">
      <sharedItems containsSemiMixedTypes="0" containsString="0" containsNumber="1" minValue="-5.9180000000000001" maxValue="2353.8519999999999"/>
    </cacheField>
    <cacheField name="TE_E" numFmtId="40">
      <sharedItems containsSemiMixedTypes="0" containsString="0" containsNumber="1" minValue="-5.9180000000000001" maxValue="2353.8519999999999"/>
    </cacheField>
    <cacheField name="TE_Eaj" numFmtId="40">
      <sharedItems containsSemiMixedTypes="0" containsString="0" containsNumber="1" minValue="-5.9180000000000001" maxValue="2353.8519999999999"/>
    </cacheField>
    <cacheField name="UC" numFmtId="40">
      <sharedItems containsSemiMixedTypes="0" containsString="0" containsNumber="1" containsInteger="1" minValue="0" maxValue="11922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46"/>
    </cacheField>
    <cacheField name="CóD. AUX. TUSD R$/MWh" numFmtId="0">
      <sharedItems containsSemiMixedTypes="0" containsString="0" containsNumber="1" containsInteger="1" minValue="0" maxValue="77"/>
    </cacheField>
    <cacheField name="CóD. AUX. TE R$/MWh" numFmtId="0">
      <sharedItems containsSemiMixedTypes="0" containsString="0" containsNumber="1" containsInteger="1" minValue="0" maxValue="87"/>
    </cacheField>
    <cacheField name="TUSD (R$/kW)" numFmtId="40">
      <sharedItems containsSemiMixedTypes="0" containsString="0" containsNumber="1" minValue="0" maxValue="34.479999999999997"/>
    </cacheField>
    <cacheField name="TUSD (R$/MWh)" numFmtId="40">
      <sharedItems containsSemiMixedTypes="0" containsString="0" containsNumber="1" minValue="0" maxValue="2676.16"/>
    </cacheField>
    <cacheField name="TE (R$/MWh)" numFmtId="40">
      <sharedItems containsSemiMixedTypes="0" containsString="0" containsNumber="1" minValue="0" maxValue="150.26"/>
    </cacheField>
    <cacheField name="TUSD (R$/kW) NOVA" numFmtId="40">
      <sharedItems containsString="0" containsBlank="1" containsNumber="1" minValue="37.721850071081427" maxValue="37.721850071081427"/>
    </cacheField>
    <cacheField name="TUSD (R$/MWh) NOVA" numFmtId="40">
      <sharedItems containsString="0" containsBlank="1" containsNumber="1" minValue="94.517694765168258" maxValue="2626.6795212185111"/>
    </cacheField>
    <cacheField name="TE (R$/MWh) NOVA" numFmtId="40">
      <sharedItems containsString="0" containsBlank="1" containsNumber="1" minValue="47.817929988029796" maxValue="136.62265710865657"/>
    </cacheField>
    <cacheField name="SUBSIDIO kW - TV" numFmtId="40">
      <sharedItems containsSemiMixedTypes="0" containsString="0" containsNumber="1" minValue="0" maxValue="403.41600000000005"/>
    </cacheField>
    <cacheField name="SUBSIDIO MWh - TV" numFmtId="40">
      <sharedItems containsSemiMixedTypes="0" containsString="0" containsNumber="1" minValue="-462.78760000000011" maxValue="26201.770200000003"/>
    </cacheField>
    <cacheField name="SUBSIDIO kW - TN" numFmtId="40">
      <sharedItems containsSemiMixedTypes="0" containsString="0" containsNumber="1" minValue="0" maxValue="441.3456458316528"/>
    </cacheField>
    <cacheField name="SUBSIDIO MWh - TN" numFmtId="40">
      <sharedItems containsSemiMixedTypes="0" containsString="0" containsNumber="1" minValue="-258.08472614701878" maxValue="14612.052454806733"/>
    </cacheField>
    <cacheField name="TIPO" numFmtId="0">
      <sharedItems containsBlank="1" count="5">
        <s v="SUBSIDIO RURAL"/>
        <s v="SUBSIDIO ÁGUA, ESGOTO E SANEAMENTO"/>
        <m/>
        <s v="SUBSIDIO BAIXA RENDA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7">
  <r>
    <s v="Regular"/>
    <x v="0"/>
    <x v="0"/>
    <x v="0"/>
    <x v="0"/>
    <x v="0"/>
    <x v="0"/>
    <x v="0"/>
    <x v="0"/>
    <n v="3256"/>
    <n v="3256"/>
    <n v="1435.625"/>
    <n v="1435.625"/>
    <n v="1435.625"/>
    <n v="1435.625"/>
    <n v="0"/>
    <x v="0"/>
    <n v="0"/>
    <n v="28"/>
    <n v="29"/>
    <n v="61"/>
    <n v="34.479999999999997"/>
    <n v="60.38"/>
    <n v="150.26"/>
    <n v="37.721850071081427"/>
    <n v="94.517694765168258"/>
    <n v="136.62265710865657"/>
    <n v="112266.87999999999"/>
    <n v="86683.037500000006"/>
    <n v="215717.01249999998"/>
    <n v="122822.34383144113"/>
    <n v="135691.96554724468"/>
    <n v="196138.90211161508"/>
  </r>
  <r>
    <s v="Regular"/>
    <x v="0"/>
    <x v="0"/>
    <x v="0"/>
    <x v="0"/>
    <x v="0"/>
    <x v="0"/>
    <x v="0"/>
    <x v="1"/>
    <n v="3485"/>
    <n v="3485"/>
    <n v="1528.7159999999999"/>
    <n v="1528.7159999999999"/>
    <n v="1528.7159999999999"/>
    <n v="1528.7159999999999"/>
    <n v="0"/>
    <x v="0"/>
    <n v="0"/>
    <n v="28"/>
    <n v="29"/>
    <n v="61"/>
    <n v="34.479999999999997"/>
    <n v="60.38"/>
    <n v="150.26"/>
    <n v="37.721850071081427"/>
    <n v="94.517694765168258"/>
    <n v="136.62265710865657"/>
    <n v="120162.79999999999"/>
    <n v="92303.872080000001"/>
    <n v="229704.86615999998"/>
    <n v="131460.64749771878"/>
    <n v="144490.71227062895"/>
    <n v="208857.24188451702"/>
  </r>
  <r>
    <s v="Regular"/>
    <x v="0"/>
    <x v="0"/>
    <x v="0"/>
    <x v="0"/>
    <x v="0"/>
    <x v="0"/>
    <x v="0"/>
    <x v="2"/>
    <n v="3686"/>
    <n v="3686"/>
    <n v="1584.982"/>
    <n v="1584.982"/>
    <n v="1584.982"/>
    <n v="1584.982"/>
    <n v="0"/>
    <x v="0"/>
    <n v="0"/>
    <n v="28"/>
    <n v="29"/>
    <n v="61"/>
    <n v="34.479999999999997"/>
    <n v="60.38"/>
    <n v="150.26"/>
    <n v="37.721850071081427"/>
    <n v="94.517694765168258"/>
    <n v="136.62265710865657"/>
    <n v="127093.27999999998"/>
    <n v="95701.213159999999"/>
    <n v="238159.39531999998"/>
    <n v="139042.73936200613"/>
    <n v="149808.84488428591"/>
    <n v="216544.45230939271"/>
  </r>
  <r>
    <s v="Regular"/>
    <x v="0"/>
    <x v="0"/>
    <x v="0"/>
    <x v="0"/>
    <x v="0"/>
    <x v="0"/>
    <x v="0"/>
    <x v="3"/>
    <n v="3685"/>
    <n v="3685"/>
    <n v="1325.4169999999999"/>
    <n v="1325.4169999999999"/>
    <n v="1325.4169999999999"/>
    <n v="1325.4169999999999"/>
    <n v="0"/>
    <x v="0"/>
    <n v="0"/>
    <n v="28"/>
    <n v="29"/>
    <n v="61"/>
    <n v="34.479999999999997"/>
    <n v="60.38"/>
    <n v="150.26"/>
    <n v="37.721850071081427"/>
    <n v="94.517694765168258"/>
    <n v="136.62265710865657"/>
    <n v="127058.79999999999"/>
    <n v="80028.678459999996"/>
    <n v="199157.15841999996"/>
    <n v="139005.01751193506"/>
    <n v="125275.35944256501"/>
    <n v="181081.99231698425"/>
  </r>
  <r>
    <s v="Regular"/>
    <x v="0"/>
    <x v="0"/>
    <x v="0"/>
    <x v="0"/>
    <x v="0"/>
    <x v="0"/>
    <x v="0"/>
    <x v="4"/>
    <n v="3450"/>
    <n v="3450"/>
    <n v="1291.193"/>
    <n v="1291.193"/>
    <n v="1291.193"/>
    <n v="1291.193"/>
    <n v="0"/>
    <x v="0"/>
    <n v="0"/>
    <n v="28"/>
    <n v="29"/>
    <n v="61"/>
    <n v="34.479999999999997"/>
    <n v="60.38"/>
    <n v="150.26"/>
    <n v="37.721850071081427"/>
    <n v="94.517694765168258"/>
    <n v="136.62265710865657"/>
    <n v="118955.99999999999"/>
    <n v="77962.233340000006"/>
    <n v="194014.66017999998"/>
    <n v="130140.38274523092"/>
    <n v="122040.5858569219"/>
    <n v="176406.2185000976"/>
  </r>
  <r>
    <s v="Regular"/>
    <x v="0"/>
    <x v="0"/>
    <x v="0"/>
    <x v="0"/>
    <x v="0"/>
    <x v="0"/>
    <x v="0"/>
    <x v="5"/>
    <n v="4000"/>
    <n v="4000"/>
    <n v="1242.145"/>
    <n v="1242.145"/>
    <n v="1242.145"/>
    <n v="1242.145"/>
    <n v="0"/>
    <x v="0"/>
    <n v="0"/>
    <n v="28"/>
    <n v="29"/>
    <n v="61"/>
    <n v="34.479999999999997"/>
    <n v="60.38"/>
    <n v="150.26"/>
    <n v="37.721850071081427"/>
    <n v="94.517694765168258"/>
    <n v="136.62265710865657"/>
    <n v="137920"/>
    <n v="75000.715100000001"/>
    <n v="186644.7077"/>
    <n v="150887.4002843257"/>
    <n v="117404.68196407992"/>
    <n v="169705.15041423222"/>
  </r>
  <r>
    <s v="Regular"/>
    <x v="0"/>
    <x v="0"/>
    <x v="0"/>
    <x v="0"/>
    <x v="0"/>
    <x v="0"/>
    <x v="0"/>
    <x v="6"/>
    <n v="3950"/>
    <n v="3950"/>
    <n v="1076.934"/>
    <n v="1076.934"/>
    <n v="1076.934"/>
    <n v="1076.934"/>
    <n v="0"/>
    <x v="0"/>
    <n v="0"/>
    <n v="28"/>
    <n v="29"/>
    <n v="61"/>
    <n v="34.479999999999997"/>
    <n v="60.38"/>
    <n v="150.26"/>
    <n v="37.721850071081427"/>
    <n v="94.517694765168258"/>
    <n v="136.62265710865657"/>
    <n v="136196"/>
    <n v="65025.274920000003"/>
    <n v="161820.10283999998"/>
    <n v="149001.30778077163"/>
    <n v="101789.31909423172"/>
    <n v="147133.58461065395"/>
  </r>
  <r>
    <s v="Regular"/>
    <x v="0"/>
    <x v="0"/>
    <x v="0"/>
    <x v="0"/>
    <x v="0"/>
    <x v="0"/>
    <x v="0"/>
    <x v="7"/>
    <n v="3402"/>
    <n v="3402"/>
    <n v="1128.9059999999999"/>
    <n v="1128.9059999999999"/>
    <n v="1128.9059999999999"/>
    <n v="1128.9059999999999"/>
    <n v="0"/>
    <x v="0"/>
    <n v="0"/>
    <n v="28"/>
    <n v="29"/>
    <n v="61"/>
    <n v="34.479999999999997"/>
    <n v="60.38"/>
    <n v="150.26"/>
    <n v="37.721850071081427"/>
    <n v="94.517694765168258"/>
    <n v="136.62265710865657"/>
    <n v="117300.95999999999"/>
    <n v="68163.344280000005"/>
    <n v="169629.41555999999"/>
    <n v="128329.73394181901"/>
    <n v="106701.59272656703"/>
    <n v="154234.13734590504"/>
  </r>
  <r>
    <s v="Regular"/>
    <x v="0"/>
    <x v="0"/>
    <x v="0"/>
    <x v="0"/>
    <x v="0"/>
    <x v="0"/>
    <x v="0"/>
    <x v="8"/>
    <n v="3128"/>
    <n v="3128"/>
    <n v="1152.1600000000001"/>
    <n v="1152.1600000000001"/>
    <n v="1152.1600000000001"/>
    <n v="1152.1600000000001"/>
    <n v="0"/>
    <x v="0"/>
    <n v="0"/>
    <n v="28"/>
    <n v="29"/>
    <n v="61"/>
    <n v="34.479999999999997"/>
    <n v="60.38"/>
    <n v="150.26"/>
    <n v="37.721850071081427"/>
    <n v="94.517694765168258"/>
    <n v="136.62265710865657"/>
    <n v="107853.43999999999"/>
    <n v="69567.420800000007"/>
    <n v="173123.56160000002"/>
    <n v="117993.94702234271"/>
    <n v="108899.50720063628"/>
    <n v="157411.16061430977"/>
  </r>
  <r>
    <s v="Regular"/>
    <x v="0"/>
    <x v="0"/>
    <x v="0"/>
    <x v="0"/>
    <x v="0"/>
    <x v="0"/>
    <x v="0"/>
    <x v="9"/>
    <n v="3730"/>
    <n v="3730"/>
    <n v="1437.7159999999999"/>
    <n v="1437.7159999999999"/>
    <n v="1437.7159999999999"/>
    <n v="1437.7159999999999"/>
    <n v="0"/>
    <x v="0"/>
    <n v="0"/>
    <n v="28"/>
    <n v="29"/>
    <n v="61"/>
    <n v="34.479999999999997"/>
    <n v="60.38"/>
    <n v="150.26"/>
    <n v="37.721850071081427"/>
    <n v="94.517694765168258"/>
    <n v="136.62265710865657"/>
    <n v="128610.4"/>
    <n v="86809.292079999999"/>
    <n v="216031.20615999997"/>
    <n v="140702.50076513374"/>
    <n v="135889.60204699863"/>
    <n v="196424.58008762926"/>
  </r>
  <r>
    <s v="Regular"/>
    <x v="0"/>
    <x v="0"/>
    <x v="0"/>
    <x v="0"/>
    <x v="0"/>
    <x v="0"/>
    <x v="0"/>
    <x v="10"/>
    <n v="3995"/>
    <n v="3995"/>
    <n v="1469.89"/>
    <n v="1469.89"/>
    <n v="1469.89"/>
    <n v="1469.89"/>
    <n v="0"/>
    <x v="0"/>
    <n v="0"/>
    <n v="28"/>
    <n v="29"/>
    <n v="61"/>
    <n v="34.479999999999997"/>
    <n v="60.38"/>
    <n v="150.26"/>
    <n v="37.721850071081427"/>
    <n v="94.517694765168258"/>
    <n v="136.62265710865657"/>
    <n v="137747.59999999998"/>
    <n v="88751.958200000008"/>
    <n v="220865.67139999999"/>
    <n v="150698.79103397031"/>
    <n v="138930.61435837319"/>
    <n v="200820.27745744321"/>
  </r>
  <r>
    <s v="PROJETADO"/>
    <x v="0"/>
    <x v="0"/>
    <x v="0"/>
    <x v="0"/>
    <x v="0"/>
    <x v="0"/>
    <x v="0"/>
    <x v="11"/>
    <n v="3995"/>
    <n v="3995"/>
    <n v="1469.89"/>
    <n v="1469.89"/>
    <n v="1469.89"/>
    <n v="1469.89"/>
    <n v="0"/>
    <x v="0"/>
    <n v="0"/>
    <n v="28"/>
    <n v="29"/>
    <n v="61"/>
    <n v="34.479999999999997"/>
    <n v="60.38"/>
    <n v="150.26"/>
    <n v="37.721850071081427"/>
    <n v="94.517694765168258"/>
    <n v="136.62265710865657"/>
    <n v="137747.59999999998"/>
    <n v="88751.958200000008"/>
    <n v="220865.67139999999"/>
    <n v="150698.79103397031"/>
    <n v="138930.61435837319"/>
    <n v="200820.27745744321"/>
  </r>
  <r>
    <s v="Regular"/>
    <x v="0"/>
    <x v="0"/>
    <x v="0"/>
    <x v="0"/>
    <x v="0"/>
    <x v="0"/>
    <x v="1"/>
    <x v="0"/>
    <n v="1227"/>
    <n v="1227"/>
    <n v="65.489000000000004"/>
    <n v="65.489000000000004"/>
    <n v="65.489000000000004"/>
    <n v="65.489000000000004"/>
    <n v="0"/>
    <x v="0"/>
    <n v="0"/>
    <n v="54"/>
    <n v="29"/>
    <n v="70"/>
    <n v="108.71"/>
    <n v="60.38"/>
    <n v="150.26"/>
    <n v="105.27132197002946"/>
    <n v="94.517694765168258"/>
    <n v="136.62265710865657"/>
    <n v="133387.16999999998"/>
    <n v="3954.2258200000006"/>
    <n v="9840.3771400000005"/>
    <n v="129167.91205722615"/>
    <n v="6189.8693124761048"/>
    <n v="8947.2811913888108"/>
  </r>
  <r>
    <s v="Regular"/>
    <x v="0"/>
    <x v="0"/>
    <x v="0"/>
    <x v="0"/>
    <x v="0"/>
    <x v="0"/>
    <x v="1"/>
    <x v="1"/>
    <n v="1273"/>
    <n v="1273"/>
    <n v="69.762"/>
    <n v="69.762"/>
    <n v="69.762"/>
    <n v="69.762"/>
    <n v="0"/>
    <x v="0"/>
    <n v="0"/>
    <n v="54"/>
    <n v="29"/>
    <n v="70"/>
    <n v="108.71"/>
    <n v="60.38"/>
    <n v="150.26"/>
    <n v="105.27132197002946"/>
    <n v="94.517694765168258"/>
    <n v="136.62265710865657"/>
    <n v="138387.82999999999"/>
    <n v="4212.2295599999998"/>
    <n v="10482.438119999999"/>
    <n v="134010.39286784749"/>
    <n v="6593.7434222076681"/>
    <n v="9531.0698052140997"/>
  </r>
  <r>
    <s v="Regular"/>
    <x v="0"/>
    <x v="0"/>
    <x v="0"/>
    <x v="0"/>
    <x v="0"/>
    <x v="0"/>
    <x v="1"/>
    <x v="2"/>
    <n v="1239"/>
    <n v="1239"/>
    <n v="66.686000000000007"/>
    <n v="66.686000000000007"/>
    <n v="66.686000000000007"/>
    <n v="66.686000000000007"/>
    <n v="0"/>
    <x v="0"/>
    <n v="0"/>
    <n v="54"/>
    <n v="29"/>
    <n v="70"/>
    <n v="108.71"/>
    <n v="60.38"/>
    <n v="150.26"/>
    <n v="105.27132197002946"/>
    <n v="94.517694765168258"/>
    <n v="136.62265710865657"/>
    <n v="134691.69"/>
    <n v="4026.5006800000006"/>
    <n v="10020.238360000001"/>
    <n v="130431.1679208665"/>
    <n v="6303.0069931100115"/>
    <n v="9110.818511947873"/>
  </r>
  <r>
    <s v="Regular"/>
    <x v="0"/>
    <x v="0"/>
    <x v="0"/>
    <x v="0"/>
    <x v="0"/>
    <x v="0"/>
    <x v="1"/>
    <x v="3"/>
    <n v="1335"/>
    <n v="1335"/>
    <n v="57.280999999999999"/>
    <n v="57.280999999999999"/>
    <n v="57.280999999999999"/>
    <n v="57.280999999999999"/>
    <n v="0"/>
    <x v="0"/>
    <n v="0"/>
    <n v="54"/>
    <n v="29"/>
    <n v="70"/>
    <n v="108.71"/>
    <n v="60.38"/>
    <n v="150.26"/>
    <n v="105.27132197002946"/>
    <n v="94.517694765168258"/>
    <n v="136.62265710865657"/>
    <n v="145127.85"/>
    <n v="3458.6267800000001"/>
    <n v="8607.04306"/>
    <n v="140537.21482998933"/>
    <n v="5414.0680738436031"/>
    <n v="7825.8824218409563"/>
  </r>
  <r>
    <s v="Regular"/>
    <x v="0"/>
    <x v="0"/>
    <x v="0"/>
    <x v="0"/>
    <x v="0"/>
    <x v="0"/>
    <x v="1"/>
    <x v="4"/>
    <n v="965"/>
    <n v="965"/>
    <n v="52.65"/>
    <n v="52.65"/>
    <n v="52.65"/>
    <n v="52.65"/>
    <n v="0"/>
    <x v="0"/>
    <n v="0"/>
    <n v="54"/>
    <n v="29"/>
    <n v="70"/>
    <n v="108.71"/>
    <n v="60.38"/>
    <n v="150.26"/>
    <n v="105.27132197002946"/>
    <n v="94.517694765168258"/>
    <n v="136.62265710865657"/>
    <n v="104905.15"/>
    <n v="3179.0070000000001"/>
    <n v="7911.1889999999994"/>
    <n v="101586.82570107843"/>
    <n v="4976.3566293861086"/>
    <n v="7193.1828967707679"/>
  </r>
  <r>
    <s v="Regular"/>
    <x v="0"/>
    <x v="0"/>
    <x v="0"/>
    <x v="0"/>
    <x v="0"/>
    <x v="0"/>
    <x v="1"/>
    <x v="5"/>
    <n v="108"/>
    <n v="108"/>
    <n v="3.2130000000000001"/>
    <n v="3.2130000000000001"/>
    <n v="3.2130000000000001"/>
    <n v="3.2130000000000001"/>
    <n v="0"/>
    <x v="0"/>
    <n v="0"/>
    <n v="54"/>
    <n v="29"/>
    <n v="70"/>
    <n v="108.71"/>
    <n v="60.38"/>
    <n v="150.26"/>
    <n v="105.27132197002946"/>
    <n v="94.517694765168258"/>
    <n v="136.62265710865657"/>
    <n v="11740.679999999998"/>
    <n v="194.00094000000001"/>
    <n v="482.78537999999998"/>
    <n v="11369.302772763182"/>
    <n v="303.68535328048563"/>
    <n v="438.96859729011356"/>
  </r>
  <r>
    <s v="Regular"/>
    <x v="0"/>
    <x v="0"/>
    <x v="0"/>
    <x v="0"/>
    <x v="0"/>
    <x v="0"/>
    <x v="1"/>
    <x v="6"/>
    <n v="211"/>
    <n v="211"/>
    <n v="5.234"/>
    <n v="5.234"/>
    <n v="5.234"/>
    <n v="5.234"/>
    <n v="0"/>
    <x v="0"/>
    <n v="0"/>
    <n v="54"/>
    <n v="29"/>
    <n v="70"/>
    <n v="108.71"/>
    <n v="60.38"/>
    <n v="150.26"/>
    <n v="105.27132197002946"/>
    <n v="94.517694765168258"/>
    <n v="136.62265710865657"/>
    <n v="22937.809999999998"/>
    <n v="316.02892000000003"/>
    <n v="786.46083999999996"/>
    <n v="22212.248935676216"/>
    <n v="494.70561440089068"/>
    <n v="715.08298730670845"/>
  </r>
  <r>
    <s v="Regular"/>
    <x v="0"/>
    <x v="0"/>
    <x v="0"/>
    <x v="0"/>
    <x v="0"/>
    <x v="0"/>
    <x v="1"/>
    <x v="7"/>
    <n v="298"/>
    <n v="298"/>
    <n v="7.0860000000000003"/>
    <n v="7.0860000000000003"/>
    <n v="7.0860000000000003"/>
    <n v="7.0860000000000003"/>
    <n v="0"/>
    <x v="0"/>
    <n v="0"/>
    <n v="54"/>
    <n v="29"/>
    <n v="70"/>
    <n v="108.71"/>
    <n v="60.38"/>
    <n v="150.26"/>
    <n v="105.27132197002946"/>
    <n v="94.517694765168258"/>
    <n v="136.62265710865657"/>
    <n v="32395.579999999998"/>
    <n v="427.85268000000002"/>
    <n v="1064.74236"/>
    <n v="31370.853947068779"/>
    <n v="669.75238510598228"/>
    <n v="968.10814827194054"/>
  </r>
  <r>
    <s v="Regular"/>
    <x v="0"/>
    <x v="0"/>
    <x v="0"/>
    <x v="0"/>
    <x v="0"/>
    <x v="0"/>
    <x v="1"/>
    <x v="8"/>
    <n v="100"/>
    <n v="100"/>
    <n v="2.9580000000000002"/>
    <n v="2.9580000000000002"/>
    <n v="2.9580000000000002"/>
    <n v="2.9580000000000002"/>
    <n v="0"/>
    <x v="0"/>
    <n v="0"/>
    <n v="54"/>
    <n v="29"/>
    <n v="70"/>
    <n v="108.71"/>
    <n v="60.38"/>
    <n v="150.26"/>
    <n v="105.27132197002946"/>
    <n v="94.517694765168258"/>
    <n v="136.62265710865657"/>
    <n v="10871"/>
    <n v="178.60404000000003"/>
    <n v="444.46908000000002"/>
    <n v="10527.132197002946"/>
    <n v="279.58334111536772"/>
    <n v="404.12981972740613"/>
  </r>
  <r>
    <s v="Regular"/>
    <x v="0"/>
    <x v="0"/>
    <x v="0"/>
    <x v="0"/>
    <x v="0"/>
    <x v="0"/>
    <x v="1"/>
    <x v="9"/>
    <n v="105"/>
    <n v="105"/>
    <n v="3.4359999999999999"/>
    <n v="3.4359999999999999"/>
    <n v="3.4359999999999999"/>
    <n v="3.4359999999999999"/>
    <n v="0"/>
    <x v="0"/>
    <n v="0"/>
    <n v="54"/>
    <n v="29"/>
    <n v="70"/>
    <n v="108.71"/>
    <n v="60.38"/>
    <n v="150.26"/>
    <n v="105.27132197002946"/>
    <n v="94.517694765168258"/>
    <n v="136.62265710865657"/>
    <n v="11414.55"/>
    <n v="207.46567999999999"/>
    <n v="516.29336000000001"/>
    <n v="11053.488806853093"/>
    <n v="324.76279921311811"/>
    <n v="469.43544982534394"/>
  </r>
  <r>
    <s v="Regular"/>
    <x v="0"/>
    <x v="0"/>
    <x v="0"/>
    <x v="0"/>
    <x v="0"/>
    <x v="0"/>
    <x v="1"/>
    <x v="10"/>
    <n v="105"/>
    <n v="105"/>
    <n v="3.5680000000000001"/>
    <n v="3.5680000000000001"/>
    <n v="3.5680000000000001"/>
    <n v="3.5680000000000001"/>
    <n v="0"/>
    <x v="0"/>
    <n v="0"/>
    <n v="54"/>
    <n v="29"/>
    <n v="70"/>
    <n v="108.71"/>
    <n v="60.38"/>
    <n v="150.26"/>
    <n v="105.27132197002946"/>
    <n v="94.517694765168258"/>
    <n v="136.62265710865657"/>
    <n v="11414.55"/>
    <n v="215.43584000000001"/>
    <n v="536.12767999999994"/>
    <n v="11053.488806853093"/>
    <n v="337.23913492212034"/>
    <n v="487.46964056368665"/>
  </r>
  <r>
    <s v="PROJETADO"/>
    <x v="0"/>
    <x v="0"/>
    <x v="0"/>
    <x v="0"/>
    <x v="0"/>
    <x v="0"/>
    <x v="1"/>
    <x v="11"/>
    <n v="105"/>
    <n v="105"/>
    <n v="3.5680000000000001"/>
    <n v="3.5680000000000001"/>
    <n v="3.5680000000000001"/>
    <n v="3.5680000000000001"/>
    <n v="0"/>
    <x v="0"/>
    <n v="0"/>
    <n v="54"/>
    <n v="29"/>
    <n v="70"/>
    <n v="108.71"/>
    <n v="60.38"/>
    <n v="150.26"/>
    <n v="105.27132197002946"/>
    <n v="94.517694765168258"/>
    <n v="136.62265710865657"/>
    <n v="11414.55"/>
    <n v="215.43584000000001"/>
    <n v="536.12767999999994"/>
    <n v="11053.488806853093"/>
    <n v="337.23913492212034"/>
    <n v="487.46964056368665"/>
  </r>
  <r>
    <s v="Regular"/>
    <x v="0"/>
    <x v="1"/>
    <x v="1"/>
    <x v="0"/>
    <x v="0"/>
    <x v="0"/>
    <x v="0"/>
    <x v="0"/>
    <n v="0"/>
    <n v="0"/>
    <n v="376.36799999999999"/>
    <n v="376.36799999999999"/>
    <n v="376.36799999999999"/>
    <n v="376.36799999999999"/>
    <n v="0"/>
    <x v="0"/>
    <n v="0"/>
    <n v="0"/>
    <n v="50"/>
    <n v="61"/>
    <n v="0"/>
    <n v="60.38"/>
    <n v="150.26"/>
    <m/>
    <n v="94.517694765168258"/>
    <n v="136.62265710865657"/>
    <n v="0"/>
    <n v="22725.099839999999"/>
    <n v="56553.055679999998"/>
    <n v="0"/>
    <n v="35573.435743376845"/>
    <n v="51420.396210670857"/>
  </r>
  <r>
    <s v="Regular"/>
    <x v="0"/>
    <x v="1"/>
    <x v="1"/>
    <x v="0"/>
    <x v="0"/>
    <x v="0"/>
    <x v="0"/>
    <x v="1"/>
    <n v="0"/>
    <n v="0"/>
    <n v="392.959"/>
    <n v="392.959"/>
    <n v="392.959"/>
    <n v="392.959"/>
    <n v="0"/>
    <x v="0"/>
    <n v="0"/>
    <n v="0"/>
    <n v="50"/>
    <n v="61"/>
    <n v="0"/>
    <n v="60.38"/>
    <n v="150.26"/>
    <m/>
    <n v="94.517694765168258"/>
    <n v="136.62265710865657"/>
    <n v="0"/>
    <n v="23726.864420000002"/>
    <n v="59046.019339999999"/>
    <n v="0"/>
    <n v="37141.578817225753"/>
    <n v="53687.102714760578"/>
  </r>
  <r>
    <s v="Regular"/>
    <x v="0"/>
    <x v="1"/>
    <x v="1"/>
    <x v="0"/>
    <x v="0"/>
    <x v="0"/>
    <x v="0"/>
    <x v="2"/>
    <n v="0"/>
    <n v="0"/>
    <n v="390.53"/>
    <n v="390.53"/>
    <n v="390.53"/>
    <n v="390.53"/>
    <n v="0"/>
    <x v="0"/>
    <n v="0"/>
    <n v="0"/>
    <n v="50"/>
    <n v="61"/>
    <n v="0"/>
    <n v="60.38"/>
    <n v="150.26"/>
    <m/>
    <n v="94.517694765168258"/>
    <n v="136.62265710865657"/>
    <n v="0"/>
    <n v="23580.201399999998"/>
    <n v="58681.037799999991"/>
    <n v="0"/>
    <n v="36911.995336641157"/>
    <n v="53355.246280643645"/>
  </r>
  <r>
    <s v="Regular"/>
    <x v="0"/>
    <x v="1"/>
    <x v="1"/>
    <x v="0"/>
    <x v="0"/>
    <x v="0"/>
    <x v="0"/>
    <x v="3"/>
    <n v="0"/>
    <n v="0"/>
    <n v="416.24599999999998"/>
    <n v="416.24599999999998"/>
    <n v="416.24599999999998"/>
    <n v="416.24599999999998"/>
    <n v="0"/>
    <x v="0"/>
    <n v="0"/>
    <n v="0"/>
    <n v="50"/>
    <n v="61"/>
    <n v="0"/>
    <n v="60.38"/>
    <n v="150.26"/>
    <m/>
    <n v="94.517694765168258"/>
    <n v="136.62265710865657"/>
    <n v="0"/>
    <n v="25132.93348"/>
    <n v="62545.12395999999"/>
    <n v="0"/>
    <n v="39342.612375222227"/>
    <n v="56868.634530849857"/>
  </r>
  <r>
    <s v="Regular"/>
    <x v="0"/>
    <x v="1"/>
    <x v="1"/>
    <x v="0"/>
    <x v="0"/>
    <x v="0"/>
    <x v="0"/>
    <x v="4"/>
    <n v="0"/>
    <n v="0"/>
    <n v="399.072"/>
    <n v="399.072"/>
    <n v="399.072"/>
    <n v="399.072"/>
    <n v="0"/>
    <x v="0"/>
    <n v="0"/>
    <n v="0"/>
    <n v="50"/>
    <n v="61"/>
    <n v="0"/>
    <n v="60.38"/>
    <n v="150.26"/>
    <m/>
    <n v="94.517694765168258"/>
    <n v="136.62265710865657"/>
    <n v="0"/>
    <n v="24095.967360000002"/>
    <n v="59964.558719999994"/>
    <n v="0"/>
    <n v="37719.36548532523"/>
    <n v="54522.277017665794"/>
  </r>
  <r>
    <s v="Regular"/>
    <x v="0"/>
    <x v="1"/>
    <x v="1"/>
    <x v="0"/>
    <x v="0"/>
    <x v="0"/>
    <x v="0"/>
    <x v="5"/>
    <n v="0"/>
    <n v="0"/>
    <n v="453.76799999999997"/>
    <n v="453.76799999999997"/>
    <n v="453.76799999999997"/>
    <n v="453.76799999999997"/>
    <n v="0"/>
    <x v="0"/>
    <n v="0"/>
    <n v="0"/>
    <n v="50"/>
    <n v="61"/>
    <n v="0"/>
    <n v="60.38"/>
    <n v="150.26"/>
    <m/>
    <n v="94.517694765168258"/>
    <n v="136.62265710865657"/>
    <n v="0"/>
    <n v="27398.511839999999"/>
    <n v="68183.179679999987"/>
    <n v="0"/>
    <n v="42889.105318200869"/>
    <n v="61994.989870880869"/>
  </r>
  <r>
    <s v="Regular"/>
    <x v="0"/>
    <x v="1"/>
    <x v="1"/>
    <x v="0"/>
    <x v="0"/>
    <x v="0"/>
    <x v="0"/>
    <x v="6"/>
    <n v="0"/>
    <n v="0"/>
    <n v="433.97800000000001"/>
    <n v="433.97800000000001"/>
    <n v="433.97800000000001"/>
    <n v="433.97800000000001"/>
    <n v="0"/>
    <x v="0"/>
    <n v="0"/>
    <n v="0"/>
    <n v="50"/>
    <n v="61"/>
    <n v="0"/>
    <n v="60.38"/>
    <n v="150.26"/>
    <m/>
    <n v="94.517694765168258"/>
    <n v="136.62265710865657"/>
    <n v="0"/>
    <n v="26203.591640000002"/>
    <n v="65209.53428"/>
    <n v="0"/>
    <n v="41018.600138798189"/>
    <n v="59291.227486700562"/>
  </r>
  <r>
    <s v="Regular"/>
    <x v="0"/>
    <x v="1"/>
    <x v="1"/>
    <x v="0"/>
    <x v="0"/>
    <x v="0"/>
    <x v="0"/>
    <x v="7"/>
    <n v="0"/>
    <n v="0"/>
    <n v="455.69799999999998"/>
    <n v="455.69799999999998"/>
    <n v="455.69799999999998"/>
    <n v="455.69799999999998"/>
    <n v="0"/>
    <x v="0"/>
    <n v="0"/>
    <n v="0"/>
    <n v="50"/>
    <n v="61"/>
    <n v="0"/>
    <n v="60.38"/>
    <n v="150.26"/>
    <m/>
    <n v="94.517694765168258"/>
    <n v="136.62265710865657"/>
    <n v="0"/>
    <n v="27515.045239999999"/>
    <n v="68473.181479999999"/>
    <n v="0"/>
    <n v="43071.52446909764"/>
    <n v="62258.671599100577"/>
  </r>
  <r>
    <s v="Regular"/>
    <x v="0"/>
    <x v="1"/>
    <x v="1"/>
    <x v="0"/>
    <x v="0"/>
    <x v="0"/>
    <x v="0"/>
    <x v="8"/>
    <n v="0"/>
    <n v="0"/>
    <n v="388.16300000000001"/>
    <n v="388.16300000000001"/>
    <n v="388.16300000000001"/>
    <n v="388.16300000000001"/>
    <n v="0"/>
    <x v="0"/>
    <n v="0"/>
    <n v="0"/>
    <n v="50"/>
    <n v="61"/>
    <n v="0"/>
    <n v="60.38"/>
    <n v="150.26"/>
    <m/>
    <n v="94.517694765168258"/>
    <n v="136.62265710865657"/>
    <n v="0"/>
    <n v="23437.281940000001"/>
    <n v="58325.372380000001"/>
    <n v="0"/>
    <n v="36688.271953132011"/>
    <n v="53031.860451267465"/>
  </r>
  <r>
    <s v="Regular"/>
    <x v="0"/>
    <x v="1"/>
    <x v="1"/>
    <x v="0"/>
    <x v="0"/>
    <x v="0"/>
    <x v="0"/>
    <x v="9"/>
    <n v="0"/>
    <n v="0"/>
    <n v="407.42399999999998"/>
    <n v="407.42399999999998"/>
    <n v="407.42399999999998"/>
    <n v="407.42399999999998"/>
    <n v="0"/>
    <x v="0"/>
    <n v="0"/>
    <n v="0"/>
    <n v="50"/>
    <n v="61"/>
    <n v="0"/>
    <n v="60.38"/>
    <n v="150.26"/>
    <m/>
    <n v="94.517694765168258"/>
    <n v="136.62265710865657"/>
    <n v="0"/>
    <n v="24600.261119999999"/>
    <n v="61219.530239999993"/>
    <n v="0"/>
    <n v="38508.777272003914"/>
    <n v="55663.349449837289"/>
  </r>
  <r>
    <s v="Regular"/>
    <x v="0"/>
    <x v="1"/>
    <x v="1"/>
    <x v="0"/>
    <x v="0"/>
    <x v="0"/>
    <x v="0"/>
    <x v="10"/>
    <n v="0"/>
    <n v="0"/>
    <n v="401.84199999999998"/>
    <n v="401.84199999999998"/>
    <n v="401.84199999999998"/>
    <n v="401.84199999999998"/>
    <n v="0"/>
    <x v="0"/>
    <n v="0"/>
    <n v="0"/>
    <n v="50"/>
    <n v="61"/>
    <n v="0"/>
    <n v="60.38"/>
    <n v="150.26"/>
    <m/>
    <n v="94.517694765168258"/>
    <n v="136.62265710865657"/>
    <n v="0"/>
    <n v="24263.219959999999"/>
    <n v="60380.778919999997"/>
    <n v="0"/>
    <n v="37981.179499824742"/>
    <n v="54900.721777856772"/>
  </r>
  <r>
    <s v="PROJETADO"/>
    <x v="0"/>
    <x v="1"/>
    <x v="1"/>
    <x v="0"/>
    <x v="0"/>
    <x v="0"/>
    <x v="0"/>
    <x v="11"/>
    <n v="0"/>
    <n v="0"/>
    <n v="401.84199999999998"/>
    <n v="401.84199999999998"/>
    <n v="401.84199999999998"/>
    <n v="401.84199999999998"/>
    <n v="0"/>
    <x v="0"/>
    <n v="0"/>
    <n v="0"/>
    <n v="50"/>
    <n v="61"/>
    <n v="0"/>
    <n v="60.38"/>
    <n v="150.26"/>
    <m/>
    <n v="94.517694765168258"/>
    <n v="136.62265710865657"/>
    <n v="0"/>
    <n v="24263.219959999999"/>
    <n v="60380.778919999997"/>
    <n v="0"/>
    <n v="37981.179499824742"/>
    <n v="54900.721777856772"/>
  </r>
  <r>
    <s v="Regular"/>
    <x v="0"/>
    <x v="1"/>
    <x v="1"/>
    <x v="0"/>
    <x v="0"/>
    <x v="0"/>
    <x v="2"/>
    <x v="0"/>
    <n v="1808"/>
    <n v="1808"/>
    <n v="0"/>
    <n v="0"/>
    <n v="0"/>
    <n v="0"/>
    <n v="15"/>
    <x v="0"/>
    <n v="0"/>
    <n v="46"/>
    <n v="0"/>
    <n v="0"/>
    <n v="34.479999999999997"/>
    <n v="0"/>
    <n v="0"/>
    <n v="37.721850071081427"/>
    <m/>
    <m/>
    <n v="62339.839999999997"/>
    <n v="0"/>
    <n v="0"/>
    <n v="68201.104928515226"/>
    <n v="0"/>
    <n v="0"/>
  </r>
  <r>
    <s v="Regular"/>
    <x v="0"/>
    <x v="1"/>
    <x v="1"/>
    <x v="0"/>
    <x v="0"/>
    <x v="0"/>
    <x v="2"/>
    <x v="1"/>
    <n v="1882"/>
    <n v="1882"/>
    <n v="0"/>
    <n v="0"/>
    <n v="0"/>
    <n v="0"/>
    <n v="15"/>
    <x v="0"/>
    <n v="0"/>
    <n v="46"/>
    <n v="0"/>
    <n v="0"/>
    <n v="34.479999999999997"/>
    <n v="0"/>
    <n v="0"/>
    <n v="37.721850071081427"/>
    <m/>
    <m/>
    <n v="64891.359999999993"/>
    <n v="0"/>
    <n v="0"/>
    <n v="70992.521833775245"/>
    <n v="0"/>
    <n v="0"/>
  </r>
  <r>
    <s v="Regular"/>
    <x v="0"/>
    <x v="1"/>
    <x v="1"/>
    <x v="0"/>
    <x v="0"/>
    <x v="0"/>
    <x v="2"/>
    <x v="2"/>
    <n v="1860"/>
    <n v="1860"/>
    <n v="0"/>
    <n v="0"/>
    <n v="0"/>
    <n v="0"/>
    <n v="15"/>
    <x v="0"/>
    <n v="0"/>
    <n v="46"/>
    <n v="0"/>
    <n v="0"/>
    <n v="34.479999999999997"/>
    <n v="0"/>
    <n v="0"/>
    <n v="37.721850071081427"/>
    <m/>
    <m/>
    <n v="64132.799999999996"/>
    <n v="0"/>
    <n v="0"/>
    <n v="70162.641132211458"/>
    <n v="0"/>
    <n v="0"/>
  </r>
  <r>
    <s v="Regular"/>
    <x v="0"/>
    <x v="1"/>
    <x v="1"/>
    <x v="0"/>
    <x v="0"/>
    <x v="0"/>
    <x v="2"/>
    <x v="3"/>
    <n v="1878"/>
    <n v="1878"/>
    <n v="0"/>
    <n v="0"/>
    <n v="0"/>
    <n v="0"/>
    <n v="15"/>
    <x v="0"/>
    <n v="0"/>
    <n v="46"/>
    <n v="0"/>
    <n v="0"/>
    <n v="34.479999999999997"/>
    <n v="0"/>
    <n v="0"/>
    <n v="37.721850071081427"/>
    <m/>
    <m/>
    <n v="64753.439999999995"/>
    <n v="0"/>
    <n v="0"/>
    <n v="70841.634433490923"/>
    <n v="0"/>
    <n v="0"/>
  </r>
  <r>
    <s v="Regular"/>
    <x v="0"/>
    <x v="1"/>
    <x v="1"/>
    <x v="0"/>
    <x v="0"/>
    <x v="0"/>
    <x v="2"/>
    <x v="4"/>
    <n v="1831"/>
    <n v="1831"/>
    <n v="0"/>
    <n v="0"/>
    <n v="0"/>
    <n v="0"/>
    <n v="14"/>
    <x v="0"/>
    <n v="0"/>
    <n v="46"/>
    <n v="0"/>
    <n v="0"/>
    <n v="34.479999999999997"/>
    <n v="0"/>
    <n v="0"/>
    <n v="37.721850071081427"/>
    <m/>
    <m/>
    <n v="63132.88"/>
    <n v="0"/>
    <n v="0"/>
    <n v="69068.707480150086"/>
    <n v="0"/>
    <n v="0"/>
  </r>
  <r>
    <s v="Regular"/>
    <x v="0"/>
    <x v="1"/>
    <x v="1"/>
    <x v="0"/>
    <x v="0"/>
    <x v="0"/>
    <x v="2"/>
    <x v="5"/>
    <n v="1882"/>
    <n v="1882"/>
    <n v="0"/>
    <n v="0"/>
    <n v="0"/>
    <n v="0"/>
    <n v="14"/>
    <x v="0"/>
    <n v="0"/>
    <n v="46"/>
    <n v="0"/>
    <n v="0"/>
    <n v="34.479999999999997"/>
    <n v="0"/>
    <n v="0"/>
    <n v="37.721850071081427"/>
    <m/>
    <m/>
    <n v="64891.359999999993"/>
    <n v="0"/>
    <n v="0"/>
    <n v="70992.521833775245"/>
    <n v="0"/>
    <n v="0"/>
  </r>
  <r>
    <s v="Regular"/>
    <x v="0"/>
    <x v="1"/>
    <x v="1"/>
    <x v="0"/>
    <x v="0"/>
    <x v="0"/>
    <x v="2"/>
    <x v="6"/>
    <n v="1865"/>
    <n v="1865"/>
    <n v="0"/>
    <n v="0"/>
    <n v="0"/>
    <n v="0"/>
    <n v="14"/>
    <x v="0"/>
    <n v="0"/>
    <n v="46"/>
    <n v="0"/>
    <n v="0"/>
    <n v="34.479999999999997"/>
    <n v="0"/>
    <n v="0"/>
    <n v="37.721850071081427"/>
    <m/>
    <m/>
    <n v="64305.2"/>
    <n v="0"/>
    <n v="0"/>
    <n v="70351.250382566868"/>
    <n v="0"/>
    <n v="0"/>
  </r>
  <r>
    <s v="Regular"/>
    <x v="0"/>
    <x v="1"/>
    <x v="1"/>
    <x v="0"/>
    <x v="0"/>
    <x v="0"/>
    <x v="2"/>
    <x v="7"/>
    <n v="1885"/>
    <n v="1885"/>
    <n v="0"/>
    <n v="0"/>
    <n v="0"/>
    <n v="0"/>
    <n v="14"/>
    <x v="0"/>
    <n v="0"/>
    <n v="46"/>
    <n v="0"/>
    <n v="0"/>
    <n v="34.479999999999997"/>
    <n v="0"/>
    <n v="0"/>
    <n v="37.721850071081427"/>
    <m/>
    <m/>
    <n v="64994.799999999996"/>
    <n v="0"/>
    <n v="0"/>
    <n v="71105.687383988494"/>
    <n v="0"/>
    <n v="0"/>
  </r>
  <r>
    <s v="Regular"/>
    <x v="0"/>
    <x v="1"/>
    <x v="1"/>
    <x v="0"/>
    <x v="0"/>
    <x v="0"/>
    <x v="2"/>
    <x v="8"/>
    <n v="1853"/>
    <n v="1853"/>
    <n v="0"/>
    <n v="0"/>
    <n v="0"/>
    <n v="0"/>
    <n v="14"/>
    <x v="0"/>
    <n v="0"/>
    <n v="46"/>
    <n v="0"/>
    <n v="0"/>
    <n v="34.479999999999997"/>
    <n v="0"/>
    <n v="0"/>
    <n v="37.721850071081427"/>
    <m/>
    <m/>
    <n v="63891.439999999995"/>
    <n v="0"/>
    <n v="0"/>
    <n v="69898.588181713887"/>
    <n v="0"/>
    <n v="0"/>
  </r>
  <r>
    <s v="Regular"/>
    <x v="0"/>
    <x v="1"/>
    <x v="1"/>
    <x v="0"/>
    <x v="0"/>
    <x v="0"/>
    <x v="2"/>
    <x v="9"/>
    <n v="1856"/>
    <n v="1856"/>
    <n v="0"/>
    <n v="0"/>
    <n v="0"/>
    <n v="0"/>
    <n v="14"/>
    <x v="0"/>
    <n v="0"/>
    <n v="46"/>
    <n v="0"/>
    <n v="0"/>
    <n v="34.479999999999997"/>
    <n v="0"/>
    <n v="0"/>
    <n v="37.721850071081427"/>
    <m/>
    <m/>
    <n v="63994.879999999997"/>
    <n v="0"/>
    <n v="0"/>
    <n v="70011.753731927121"/>
    <n v="0"/>
    <n v="0"/>
  </r>
  <r>
    <s v="Regular"/>
    <x v="0"/>
    <x v="1"/>
    <x v="1"/>
    <x v="0"/>
    <x v="0"/>
    <x v="0"/>
    <x v="2"/>
    <x v="10"/>
    <n v="1909"/>
    <n v="1909"/>
    <n v="0"/>
    <n v="0"/>
    <n v="0"/>
    <n v="0"/>
    <n v="14"/>
    <x v="0"/>
    <n v="0"/>
    <n v="46"/>
    <n v="0"/>
    <n v="0"/>
    <n v="34.479999999999997"/>
    <n v="0"/>
    <n v="0"/>
    <n v="37.721850071081427"/>
    <m/>
    <m/>
    <n v="65822.319999999992"/>
    <n v="0"/>
    <n v="0"/>
    <n v="72011.011785694442"/>
    <n v="0"/>
    <n v="0"/>
  </r>
  <r>
    <s v="PROJETADO"/>
    <x v="0"/>
    <x v="1"/>
    <x v="1"/>
    <x v="0"/>
    <x v="0"/>
    <x v="0"/>
    <x v="2"/>
    <x v="11"/>
    <n v="1909"/>
    <n v="1909"/>
    <n v="0"/>
    <n v="0"/>
    <n v="0"/>
    <n v="0"/>
    <n v="14"/>
    <x v="0"/>
    <n v="0"/>
    <n v="46"/>
    <n v="0"/>
    <n v="0"/>
    <n v="34.479999999999997"/>
    <n v="0"/>
    <n v="0"/>
    <n v="37.721850071081427"/>
    <m/>
    <m/>
    <n v="65822.319999999992"/>
    <n v="0"/>
    <n v="0"/>
    <n v="72011.011785694442"/>
    <n v="0"/>
    <n v="0"/>
  </r>
  <r>
    <s v="Regular"/>
    <x v="0"/>
    <x v="1"/>
    <x v="1"/>
    <x v="0"/>
    <x v="0"/>
    <x v="0"/>
    <x v="1"/>
    <x v="0"/>
    <n v="0"/>
    <n v="0"/>
    <n v="6.7729999999999997"/>
    <n v="6.7729999999999997"/>
    <n v="6.7729999999999997"/>
    <n v="6.7729999999999997"/>
    <n v="0"/>
    <x v="0"/>
    <n v="0"/>
    <n v="0"/>
    <n v="35"/>
    <n v="70"/>
    <n v="0"/>
    <n v="2676.16"/>
    <n v="150.26"/>
    <m/>
    <n v="2626.6795212185111"/>
    <n v="136.62265710865657"/>
    <n v="0"/>
    <n v="18125.631679999999"/>
    <n v="1017.7109799999998"/>
    <n v="0"/>
    <n v="17790.500397212974"/>
    <n v="925.34525659693088"/>
  </r>
  <r>
    <s v="Regular"/>
    <x v="0"/>
    <x v="1"/>
    <x v="1"/>
    <x v="0"/>
    <x v="0"/>
    <x v="0"/>
    <x v="1"/>
    <x v="1"/>
    <n v="0"/>
    <n v="0"/>
    <n v="6.4610000000000003"/>
    <n v="6.4610000000000003"/>
    <n v="6.4610000000000003"/>
    <n v="6.4610000000000003"/>
    <n v="0"/>
    <x v="0"/>
    <n v="0"/>
    <n v="0"/>
    <n v="35"/>
    <n v="70"/>
    <n v="0"/>
    <n v="2676.16"/>
    <n v="150.26"/>
    <m/>
    <n v="2626.6795212185111"/>
    <n v="136.62265710865657"/>
    <n v="0"/>
    <n v="17290.669760000001"/>
    <n v="970.82985999999994"/>
    <n v="0"/>
    <n v="16970.9763865928"/>
    <n v="882.71898757903011"/>
  </r>
  <r>
    <s v="Regular"/>
    <x v="0"/>
    <x v="1"/>
    <x v="1"/>
    <x v="0"/>
    <x v="0"/>
    <x v="0"/>
    <x v="1"/>
    <x v="2"/>
    <n v="0"/>
    <n v="0"/>
    <n v="6.62"/>
    <n v="6.62"/>
    <n v="6.62"/>
    <n v="6.62"/>
    <n v="0"/>
    <x v="0"/>
    <n v="0"/>
    <n v="0"/>
    <n v="35"/>
    <n v="70"/>
    <n v="0"/>
    <n v="2676.16"/>
    <n v="150.26"/>
    <m/>
    <n v="2626.6795212185111"/>
    <n v="136.62265710865657"/>
    <n v="0"/>
    <n v="17716.179199999999"/>
    <n v="994.72119999999995"/>
    <n v="0"/>
    <n v="17388.618430466544"/>
    <n v="904.44199005930648"/>
  </r>
  <r>
    <s v="Regular"/>
    <x v="0"/>
    <x v="1"/>
    <x v="1"/>
    <x v="0"/>
    <x v="0"/>
    <x v="0"/>
    <x v="1"/>
    <x v="3"/>
    <n v="0"/>
    <n v="0"/>
    <n v="7.5380000000000003"/>
    <n v="7.5380000000000003"/>
    <n v="7.5380000000000003"/>
    <n v="7.5380000000000003"/>
    <n v="0"/>
    <x v="0"/>
    <n v="0"/>
    <n v="0"/>
    <n v="35"/>
    <n v="70"/>
    <n v="0"/>
    <n v="2676.16"/>
    <n v="150.26"/>
    <m/>
    <n v="2626.6795212185111"/>
    <n v="136.62265710865657"/>
    <n v="0"/>
    <n v="20172.894079999998"/>
    <n v="1132.6598799999999"/>
    <n v="0"/>
    <n v="19799.910230945137"/>
    <n v="1029.8615892850532"/>
  </r>
  <r>
    <s v="Regular"/>
    <x v="0"/>
    <x v="1"/>
    <x v="1"/>
    <x v="0"/>
    <x v="0"/>
    <x v="0"/>
    <x v="1"/>
    <x v="4"/>
    <n v="0"/>
    <n v="0"/>
    <n v="9.1140000000000008"/>
    <n v="9.1140000000000008"/>
    <n v="9.1140000000000008"/>
    <n v="9.1140000000000008"/>
    <n v="0"/>
    <x v="0"/>
    <n v="0"/>
    <n v="0"/>
    <n v="35"/>
    <n v="70"/>
    <n v="0"/>
    <n v="2676.16"/>
    <n v="150.26"/>
    <m/>
    <n v="2626.6795212185111"/>
    <n v="136.62265710865657"/>
    <n v="0"/>
    <n v="24390.522240000002"/>
    <n v="1369.46964"/>
    <n v="0"/>
    <n v="23939.557156385512"/>
    <n v="1245.1788968882961"/>
  </r>
  <r>
    <s v="Regular"/>
    <x v="0"/>
    <x v="1"/>
    <x v="1"/>
    <x v="0"/>
    <x v="0"/>
    <x v="0"/>
    <x v="1"/>
    <x v="5"/>
    <n v="0"/>
    <n v="0"/>
    <n v="8.3879999999999999"/>
    <n v="8.3879999999999999"/>
    <n v="8.3879999999999999"/>
    <n v="8.3879999999999999"/>
    <n v="0"/>
    <x v="0"/>
    <n v="0"/>
    <n v="0"/>
    <n v="35"/>
    <n v="70"/>
    <n v="0"/>
    <n v="2676.16"/>
    <n v="150.26"/>
    <m/>
    <n v="2626.6795212185111"/>
    <n v="136.62265710865657"/>
    <n v="0"/>
    <n v="22447.630079999999"/>
    <n v="1260.3808799999999"/>
    <n v="0"/>
    <n v="22032.58782398087"/>
    <n v="1145.9908478274112"/>
  </r>
  <r>
    <s v="Regular"/>
    <x v="0"/>
    <x v="1"/>
    <x v="1"/>
    <x v="0"/>
    <x v="0"/>
    <x v="0"/>
    <x v="1"/>
    <x v="6"/>
    <n v="0"/>
    <n v="0"/>
    <n v="7.5679999999999996"/>
    <n v="7.5679999999999996"/>
    <n v="7.5679999999999996"/>
    <n v="7.5679999999999996"/>
    <n v="0"/>
    <x v="0"/>
    <n v="0"/>
    <n v="0"/>
    <n v="35"/>
    <n v="70"/>
    <n v="0"/>
    <n v="2676.16"/>
    <n v="150.26"/>
    <m/>
    <n v="2626.6795212185111"/>
    <n v="136.62265710865657"/>
    <n v="0"/>
    <n v="20253.178879999999"/>
    <n v="1137.1676799999998"/>
    <n v="0"/>
    <n v="19878.710616581691"/>
    <n v="1033.9602689983128"/>
  </r>
  <r>
    <s v="Regular"/>
    <x v="0"/>
    <x v="1"/>
    <x v="1"/>
    <x v="0"/>
    <x v="0"/>
    <x v="0"/>
    <x v="1"/>
    <x v="7"/>
    <n v="0"/>
    <n v="0"/>
    <n v="8.1709999999999994"/>
    <n v="8.1709999999999994"/>
    <n v="8.1709999999999994"/>
    <n v="8.1709999999999994"/>
    <n v="0"/>
    <x v="0"/>
    <n v="0"/>
    <n v="0"/>
    <n v="35"/>
    <n v="70"/>
    <n v="0"/>
    <n v="2676.16"/>
    <n v="150.26"/>
    <m/>
    <n v="2626.6795212185111"/>
    <n v="136.62265710865657"/>
    <n v="0"/>
    <n v="21866.903359999997"/>
    <n v="1227.7744599999999"/>
    <n v="0"/>
    <n v="21462.598367876453"/>
    <n v="1116.3437312348328"/>
  </r>
  <r>
    <s v="Regular"/>
    <x v="0"/>
    <x v="1"/>
    <x v="1"/>
    <x v="0"/>
    <x v="0"/>
    <x v="0"/>
    <x v="1"/>
    <x v="8"/>
    <n v="0"/>
    <n v="0"/>
    <n v="6.6189999999999998"/>
    <n v="6.6189999999999998"/>
    <n v="6.6189999999999998"/>
    <n v="6.6189999999999998"/>
    <n v="0"/>
    <x v="0"/>
    <n v="0"/>
    <n v="0"/>
    <n v="35"/>
    <n v="70"/>
    <n v="0"/>
    <n v="2676.16"/>
    <n v="150.26"/>
    <m/>
    <n v="2626.6795212185111"/>
    <n v="136.62265710865657"/>
    <n v="0"/>
    <n v="17713.50304"/>
    <n v="994.57093999999995"/>
    <n v="0"/>
    <n v="17385.991750945326"/>
    <n v="904.30536740219782"/>
  </r>
  <r>
    <s v="Regular"/>
    <x v="0"/>
    <x v="1"/>
    <x v="1"/>
    <x v="0"/>
    <x v="0"/>
    <x v="0"/>
    <x v="1"/>
    <x v="9"/>
    <n v="0"/>
    <n v="0"/>
    <n v="6.8630000000000004"/>
    <n v="6.8630000000000004"/>
    <n v="6.8630000000000004"/>
    <n v="6.8630000000000004"/>
    <n v="0"/>
    <x v="0"/>
    <n v="0"/>
    <n v="0"/>
    <n v="35"/>
    <n v="70"/>
    <n v="0"/>
    <n v="2676.16"/>
    <n v="150.26"/>
    <m/>
    <n v="2626.6795212185111"/>
    <n v="136.62265710865657"/>
    <n v="0"/>
    <n v="18366.486079999999"/>
    <n v="1031.2343800000001"/>
    <n v="0"/>
    <n v="18026.901554122644"/>
    <n v="937.64129573671005"/>
  </r>
  <r>
    <s v="Regular"/>
    <x v="0"/>
    <x v="1"/>
    <x v="1"/>
    <x v="0"/>
    <x v="0"/>
    <x v="0"/>
    <x v="1"/>
    <x v="10"/>
    <n v="0"/>
    <n v="0"/>
    <n v="6.944"/>
    <n v="6.944"/>
    <n v="6.944"/>
    <n v="6.944"/>
    <n v="0"/>
    <x v="0"/>
    <n v="0"/>
    <n v="0"/>
    <n v="35"/>
    <n v="70"/>
    <n v="0"/>
    <n v="2676.16"/>
    <n v="150.26"/>
    <m/>
    <n v="2626.6795212185111"/>
    <n v="136.62265710865657"/>
    <n v="0"/>
    <n v="18583.25504"/>
    <n v="1043.40544"/>
    <n v="0"/>
    <n v="18239.662595341342"/>
    <n v="948.70773096251116"/>
  </r>
  <r>
    <s v="PROJETADO"/>
    <x v="0"/>
    <x v="1"/>
    <x v="1"/>
    <x v="0"/>
    <x v="0"/>
    <x v="0"/>
    <x v="1"/>
    <x v="11"/>
    <n v="0"/>
    <n v="0"/>
    <n v="6.944"/>
    <n v="6.944"/>
    <n v="6.944"/>
    <n v="6.944"/>
    <n v="0"/>
    <x v="0"/>
    <n v="0"/>
    <n v="0"/>
    <n v="35"/>
    <n v="70"/>
    <n v="0"/>
    <n v="2676.16"/>
    <n v="150.26"/>
    <m/>
    <n v="2626.6795212185111"/>
    <n v="136.62265710865657"/>
    <n v="0"/>
    <n v="18583.25504"/>
    <n v="1043.40544"/>
    <n v="0"/>
    <n v="18239.662595341342"/>
    <n v="948.70773096251116"/>
  </r>
  <r>
    <s v="Regular"/>
    <x v="0"/>
    <x v="1"/>
    <x v="0"/>
    <x v="0"/>
    <x v="0"/>
    <x v="0"/>
    <x v="0"/>
    <x v="0"/>
    <n v="0"/>
    <n v="0"/>
    <n v="5616.2790000000005"/>
    <n v="5616.2790000000005"/>
    <n v="5616.2790000000005"/>
    <n v="5616.2790000000005"/>
    <n v="0"/>
    <x v="0"/>
    <n v="0"/>
    <n v="0"/>
    <n v="50"/>
    <n v="61"/>
    <n v="0"/>
    <n v="60.38"/>
    <n v="150.26"/>
    <m/>
    <n v="94.517694765168258"/>
    <n v="136.62265710865657"/>
    <n v="0"/>
    <n v="339110.92602000001"/>
    <n v="843902.08253999997"/>
    <n v="0"/>
    <n v="530837.74423802446"/>
    <n v="767310.96004354872"/>
  </r>
  <r>
    <s v="Sistema de Compensação"/>
    <x v="0"/>
    <x v="1"/>
    <x v="0"/>
    <x v="0"/>
    <x v="0"/>
    <x v="0"/>
    <x v="0"/>
    <x v="0"/>
    <n v="0"/>
    <n v="0"/>
    <n v="7.6340000000000003"/>
    <n v="7.6340000000000003"/>
    <n v="7.6340000000000003"/>
    <n v="7.6340000000000003"/>
    <n v="0"/>
    <x v="0"/>
    <n v="0"/>
    <n v="0"/>
    <n v="50"/>
    <n v="61"/>
    <n v="0"/>
    <n v="60.38"/>
    <n v="150.26"/>
    <m/>
    <n v="94.517694765168258"/>
    <n v="136.62265710865657"/>
    <n v="0"/>
    <n v="460.94092000000006"/>
    <n v="1147.08484"/>
    <n v="0"/>
    <n v="721.54808183729449"/>
    <n v="1042.9773643674844"/>
  </r>
  <r>
    <s v="Regular"/>
    <x v="0"/>
    <x v="1"/>
    <x v="0"/>
    <x v="0"/>
    <x v="0"/>
    <x v="0"/>
    <x v="0"/>
    <x v="1"/>
    <n v="0"/>
    <n v="0"/>
    <n v="5619.0429999999997"/>
    <n v="5619.0429999999997"/>
    <n v="5619.0429999999997"/>
    <n v="5619.0429999999997"/>
    <n v="0"/>
    <x v="0"/>
    <n v="0"/>
    <n v="0"/>
    <n v="50"/>
    <n v="61"/>
    <n v="0"/>
    <n v="60.38"/>
    <n v="150.26"/>
    <m/>
    <n v="94.517694765168258"/>
    <n v="136.62265710865657"/>
    <n v="0"/>
    <n v="339277.81634000002"/>
    <n v="844317.40117999993"/>
    <n v="0"/>
    <n v="531098.99114635529"/>
    <n v="767688.58506779687"/>
  </r>
  <r>
    <s v="Sistema de Compensação"/>
    <x v="0"/>
    <x v="1"/>
    <x v="0"/>
    <x v="0"/>
    <x v="0"/>
    <x v="0"/>
    <x v="0"/>
    <x v="1"/>
    <n v="0"/>
    <n v="0"/>
    <n v="7.26"/>
    <n v="7.26"/>
    <n v="7.26"/>
    <n v="7.26"/>
    <n v="0"/>
    <x v="0"/>
    <n v="0"/>
    <n v="0"/>
    <n v="50"/>
    <n v="61"/>
    <n v="0"/>
    <n v="60.38"/>
    <n v="150.26"/>
    <m/>
    <n v="94.517694765168258"/>
    <n v="136.62265710865657"/>
    <n v="0"/>
    <n v="438.35880000000003"/>
    <n v="1090.8875999999998"/>
    <n v="0"/>
    <n v="686.19846399512153"/>
    <n v="991.88049060884669"/>
  </r>
  <r>
    <s v="Regular"/>
    <x v="0"/>
    <x v="1"/>
    <x v="0"/>
    <x v="0"/>
    <x v="0"/>
    <x v="0"/>
    <x v="0"/>
    <x v="2"/>
    <n v="0"/>
    <n v="0"/>
    <n v="5626.1220000000003"/>
    <n v="5626.1220000000003"/>
    <n v="5626.1220000000003"/>
    <n v="5626.1220000000003"/>
    <n v="0"/>
    <x v="0"/>
    <n v="0"/>
    <n v="0"/>
    <n v="50"/>
    <n v="61"/>
    <n v="0"/>
    <n v="60.38"/>
    <n v="150.26"/>
    <m/>
    <n v="94.517694765168258"/>
    <n v="136.62265710865657"/>
    <n v="0"/>
    <n v="339705.24636000005"/>
    <n v="845381.09172000003"/>
    <n v="0"/>
    <n v="531768.08190759795"/>
    <n v="768655.73685746919"/>
  </r>
  <r>
    <s v="Sistema de Compensação"/>
    <x v="0"/>
    <x v="1"/>
    <x v="0"/>
    <x v="0"/>
    <x v="0"/>
    <x v="0"/>
    <x v="0"/>
    <x v="2"/>
    <n v="0"/>
    <n v="0"/>
    <n v="4.7830000000000004"/>
    <n v="4.7830000000000004"/>
    <n v="4.7830000000000004"/>
    <n v="4.7830000000000004"/>
    <n v="0"/>
    <x v="0"/>
    <n v="0"/>
    <n v="0"/>
    <n v="50"/>
    <n v="61"/>
    <n v="0"/>
    <n v="60.38"/>
    <n v="150.26"/>
    <m/>
    <n v="94.517694765168258"/>
    <n v="136.62265710865657"/>
    <n v="0"/>
    <n v="288.79754000000003"/>
    <n v="718.69358"/>
    <n v="0"/>
    <n v="452.0781340617998"/>
    <n v="653.4661689507044"/>
  </r>
  <r>
    <s v="Regular"/>
    <x v="0"/>
    <x v="1"/>
    <x v="0"/>
    <x v="0"/>
    <x v="0"/>
    <x v="0"/>
    <x v="0"/>
    <x v="3"/>
    <n v="0"/>
    <n v="0"/>
    <n v="5565.7330000000002"/>
    <n v="5565.7330000000002"/>
    <n v="5565.7330000000002"/>
    <n v="5565.7330000000002"/>
    <n v="0"/>
    <x v="0"/>
    <n v="0"/>
    <n v="0"/>
    <n v="50"/>
    <n v="61"/>
    <n v="0"/>
    <n v="60.38"/>
    <n v="150.26"/>
    <m/>
    <n v="94.517694765168258"/>
    <n v="136.62265710865657"/>
    <n v="0"/>
    <n v="336058.95854000002"/>
    <n v="836307.04058000003"/>
    <n v="0"/>
    <n v="526060.25283842429"/>
    <n v="760405.23121733451"/>
  </r>
  <r>
    <s v="Regular"/>
    <x v="0"/>
    <x v="1"/>
    <x v="0"/>
    <x v="0"/>
    <x v="0"/>
    <x v="0"/>
    <x v="0"/>
    <x v="4"/>
    <n v="0"/>
    <n v="0"/>
    <n v="4959.33"/>
    <n v="4959.33"/>
    <n v="4959.33"/>
    <n v="4959.33"/>
    <n v="0"/>
    <x v="0"/>
    <n v="0"/>
    <n v="0"/>
    <n v="50"/>
    <n v="61"/>
    <n v="0"/>
    <n v="60.38"/>
    <n v="150.26"/>
    <m/>
    <n v="94.517694765168258"/>
    <n v="136.62265710865657"/>
    <n v="0"/>
    <n v="299444.34539999999"/>
    <n v="745188.92579999997"/>
    <n v="0"/>
    <n v="468744.43917974189"/>
    <n v="677556.84207867377"/>
  </r>
  <r>
    <s v="Regular"/>
    <x v="0"/>
    <x v="1"/>
    <x v="0"/>
    <x v="0"/>
    <x v="0"/>
    <x v="0"/>
    <x v="0"/>
    <x v="5"/>
    <n v="0"/>
    <n v="0"/>
    <n v="5092.2809999999999"/>
    <n v="5092.2809999999999"/>
    <n v="5092.2809999999999"/>
    <n v="5092.2809999999999"/>
    <n v="0"/>
    <x v="0"/>
    <n v="0"/>
    <n v="0"/>
    <n v="50"/>
    <n v="61"/>
    <n v="0"/>
    <n v="60.38"/>
    <n v="150.26"/>
    <m/>
    <n v="94.517694765168258"/>
    <n v="136.62265710865657"/>
    <n v="0"/>
    <n v="307471.92678000004"/>
    <n v="765166.14305999991"/>
    <n v="0"/>
    <n v="481310.66121646576"/>
    <n v="695720.96096392674"/>
  </r>
  <r>
    <s v="Regular"/>
    <x v="0"/>
    <x v="1"/>
    <x v="0"/>
    <x v="0"/>
    <x v="0"/>
    <x v="0"/>
    <x v="0"/>
    <x v="6"/>
    <n v="0"/>
    <n v="0"/>
    <n v="5276.2020000000002"/>
    <n v="5276.2020000000002"/>
    <n v="5276.2020000000002"/>
    <n v="5276.2020000000002"/>
    <n v="0"/>
    <x v="0"/>
    <n v="0"/>
    <n v="0"/>
    <n v="50"/>
    <n v="61"/>
    <n v="0"/>
    <n v="60.38"/>
    <n v="150.26"/>
    <m/>
    <n v="94.517694765168258"/>
    <n v="136.62265710865657"/>
    <n v="0"/>
    <n v="318577.07676000003"/>
    <n v="792802.11251999997"/>
    <n v="0"/>
    <n v="498694.45015537029"/>
    <n v="720848.73668200802"/>
  </r>
  <r>
    <s v="Sistema de Compensação"/>
    <x v="0"/>
    <x v="1"/>
    <x v="0"/>
    <x v="0"/>
    <x v="0"/>
    <x v="0"/>
    <x v="0"/>
    <x v="6"/>
    <n v="0"/>
    <n v="0"/>
    <n v="2.254"/>
    <n v="2.254"/>
    <n v="2.254"/>
    <n v="2.254"/>
    <n v="0"/>
    <x v="0"/>
    <n v="0"/>
    <n v="0"/>
    <n v="50"/>
    <n v="61"/>
    <n v="0"/>
    <n v="60.38"/>
    <n v="150.26"/>
    <m/>
    <n v="94.517694765168258"/>
    <n v="136.62265710865657"/>
    <n v="0"/>
    <n v="136.09652"/>
    <n v="338.68603999999999"/>
    <n v="0"/>
    <n v="213.04288400068924"/>
    <n v="307.94746912291191"/>
  </r>
  <r>
    <s v="Regular"/>
    <x v="0"/>
    <x v="1"/>
    <x v="0"/>
    <x v="0"/>
    <x v="0"/>
    <x v="0"/>
    <x v="0"/>
    <x v="7"/>
    <n v="0"/>
    <n v="0"/>
    <n v="5949.9269999999997"/>
    <n v="5949.9269999999997"/>
    <n v="5949.9269999999997"/>
    <n v="5949.9269999999997"/>
    <n v="0"/>
    <x v="0"/>
    <n v="0"/>
    <n v="0"/>
    <n v="50"/>
    <n v="61"/>
    <n v="0"/>
    <n v="60.38"/>
    <n v="150.26"/>
    <m/>
    <n v="94.517694765168258"/>
    <n v="136.62265710865657"/>
    <n v="0"/>
    <n v="359256.59226"/>
    <n v="894036.03101999988"/>
    <n v="0"/>
    <n v="562373.38406103326"/>
    <n v="812894.83634253766"/>
  </r>
  <r>
    <s v="Sistema de Compensação"/>
    <x v="0"/>
    <x v="1"/>
    <x v="0"/>
    <x v="0"/>
    <x v="0"/>
    <x v="0"/>
    <x v="0"/>
    <x v="7"/>
    <n v="0"/>
    <n v="0"/>
    <n v="2.472"/>
    <n v="2.472"/>
    <n v="2.472"/>
    <n v="2.472"/>
    <n v="0"/>
    <x v="0"/>
    <n v="0"/>
    <n v="0"/>
    <n v="50"/>
    <n v="61"/>
    <n v="0"/>
    <n v="60.38"/>
    <n v="150.26"/>
    <m/>
    <n v="94.517694765168258"/>
    <n v="136.62265710865657"/>
    <n v="0"/>
    <n v="149.25936000000002"/>
    <n v="371.44271999999995"/>
    <n v="0"/>
    <n v="233.64774145949593"/>
    <n v="337.73120837259904"/>
  </r>
  <r>
    <s v="Regular"/>
    <x v="0"/>
    <x v="1"/>
    <x v="0"/>
    <x v="0"/>
    <x v="0"/>
    <x v="0"/>
    <x v="0"/>
    <x v="8"/>
    <n v="0"/>
    <n v="0"/>
    <n v="5911.1869999999999"/>
    <n v="5911.1869999999999"/>
    <n v="5911.1869999999999"/>
    <n v="5911.1869999999999"/>
    <n v="0"/>
    <x v="0"/>
    <n v="0"/>
    <n v="0"/>
    <n v="50"/>
    <n v="61"/>
    <n v="0"/>
    <n v="60.38"/>
    <n v="150.26"/>
    <m/>
    <n v="94.517694765168258"/>
    <n v="136.62265710865657"/>
    <n v="0"/>
    <n v="356917.47106000001"/>
    <n v="888214.95861999993"/>
    <n v="0"/>
    <n v="558711.76856583066"/>
    <n v="807602.07460614829"/>
  </r>
  <r>
    <s v="Sistema de Compensação"/>
    <x v="0"/>
    <x v="1"/>
    <x v="0"/>
    <x v="0"/>
    <x v="0"/>
    <x v="0"/>
    <x v="0"/>
    <x v="8"/>
    <n v="0"/>
    <n v="0"/>
    <n v="5.22"/>
    <n v="5.22"/>
    <n v="5.22"/>
    <n v="5.22"/>
    <n v="0"/>
    <x v="0"/>
    <n v="0"/>
    <n v="0"/>
    <n v="50"/>
    <n v="61"/>
    <n v="0"/>
    <n v="60.38"/>
    <n v="150.26"/>
    <m/>
    <n v="94.517694765168258"/>
    <n v="136.62265710865657"/>
    <n v="0"/>
    <n v="315.18360000000001"/>
    <n v="784.35719999999992"/>
    <n v="0"/>
    <n v="493.38236667417829"/>
    <n v="713.17027010718721"/>
  </r>
  <r>
    <s v="Regular"/>
    <x v="0"/>
    <x v="1"/>
    <x v="0"/>
    <x v="0"/>
    <x v="0"/>
    <x v="0"/>
    <x v="0"/>
    <x v="9"/>
    <n v="0"/>
    <n v="0"/>
    <n v="6039.3620000000001"/>
    <n v="6039.3620000000001"/>
    <n v="6039.3620000000001"/>
    <n v="6039.3620000000001"/>
    <n v="0"/>
    <x v="0"/>
    <n v="0"/>
    <n v="0"/>
    <n v="50"/>
    <n v="61"/>
    <n v="0"/>
    <n v="60.38"/>
    <n v="150.26"/>
    <m/>
    <n v="94.517694765168258"/>
    <n v="136.62265710865657"/>
    <n v="0"/>
    <n v="364656.67756000004"/>
    <n v="907474.53411999997"/>
    <n v="0"/>
    <n v="570826.57409235614"/>
    <n v="825113.68368105032"/>
  </r>
  <r>
    <s v="Sistema de Compensação"/>
    <x v="0"/>
    <x v="1"/>
    <x v="0"/>
    <x v="0"/>
    <x v="0"/>
    <x v="0"/>
    <x v="0"/>
    <x v="9"/>
    <n v="0"/>
    <n v="0"/>
    <n v="3.73"/>
    <n v="3.73"/>
    <n v="3.73"/>
    <n v="3.73"/>
    <n v="0"/>
    <x v="0"/>
    <n v="0"/>
    <n v="0"/>
    <n v="50"/>
    <n v="61"/>
    <n v="0"/>
    <n v="60.38"/>
    <n v="150.26"/>
    <m/>
    <n v="94.517694765168258"/>
    <n v="136.62265710865657"/>
    <n v="0"/>
    <n v="225.2174"/>
    <n v="560.46979999999996"/>
    <n v="0"/>
    <n v="352.55100147407762"/>
    <n v="509.602511015289"/>
  </r>
  <r>
    <s v="Regular"/>
    <x v="0"/>
    <x v="1"/>
    <x v="0"/>
    <x v="0"/>
    <x v="0"/>
    <x v="0"/>
    <x v="0"/>
    <x v="10"/>
    <n v="0"/>
    <n v="0"/>
    <n v="5803.6809999999996"/>
    <n v="5803.6809999999996"/>
    <n v="5803.6809999999996"/>
    <n v="5803.6809999999996"/>
    <n v="0"/>
    <x v="0"/>
    <n v="0"/>
    <n v="0"/>
    <n v="50"/>
    <n v="61"/>
    <n v="0"/>
    <n v="60.38"/>
    <n v="150.26"/>
    <m/>
    <n v="94.517694765168258"/>
    <n v="136.62265710865657"/>
    <n v="0"/>
    <n v="350426.25877999997"/>
    <n v="872061.10705999983"/>
    <n v="0"/>
    <n v="548550.5492724065"/>
    <n v="792914.31923102506"/>
  </r>
  <r>
    <s v="Sistema de Compensação"/>
    <x v="0"/>
    <x v="1"/>
    <x v="0"/>
    <x v="0"/>
    <x v="0"/>
    <x v="0"/>
    <x v="0"/>
    <x v="10"/>
    <n v="0"/>
    <n v="0"/>
    <n v="6.0250000000000004"/>
    <n v="6.0250000000000004"/>
    <n v="6.0250000000000004"/>
    <n v="6.0250000000000004"/>
    <n v="0"/>
    <x v="0"/>
    <n v="0"/>
    <n v="0"/>
    <n v="50"/>
    <n v="61"/>
    <n v="0"/>
    <n v="60.38"/>
    <n v="150.26"/>
    <m/>
    <n v="94.517694765168258"/>
    <n v="136.62265710865657"/>
    <n v="0"/>
    <n v="363.78950000000003"/>
    <n v="905.31650000000002"/>
    <n v="0"/>
    <n v="569.46911096013878"/>
    <n v="823.15150907965585"/>
  </r>
  <r>
    <s v="PROJETADO"/>
    <x v="0"/>
    <x v="1"/>
    <x v="0"/>
    <x v="0"/>
    <x v="0"/>
    <x v="0"/>
    <x v="0"/>
    <x v="11"/>
    <n v="0"/>
    <n v="0"/>
    <n v="5803.6809999999996"/>
    <n v="5803.6809999999996"/>
    <n v="5803.6809999999996"/>
    <n v="5803.6809999999996"/>
    <n v="0"/>
    <x v="0"/>
    <n v="0"/>
    <n v="0"/>
    <n v="50"/>
    <n v="61"/>
    <n v="0"/>
    <n v="60.38"/>
    <n v="150.26"/>
    <m/>
    <n v="94.517694765168258"/>
    <n v="136.62265710865657"/>
    <n v="0"/>
    <n v="350426.25877999997"/>
    <n v="872061.10705999983"/>
    <n v="0"/>
    <n v="548550.5492724065"/>
    <n v="792914.31923102506"/>
  </r>
  <r>
    <s v="PROJETADO"/>
    <x v="0"/>
    <x v="1"/>
    <x v="0"/>
    <x v="0"/>
    <x v="0"/>
    <x v="0"/>
    <x v="0"/>
    <x v="11"/>
    <n v="0"/>
    <n v="0"/>
    <n v="6.0250000000000004"/>
    <n v="6.0250000000000004"/>
    <n v="6.0250000000000004"/>
    <n v="6.0250000000000004"/>
    <n v="0"/>
    <x v="0"/>
    <n v="0"/>
    <n v="0"/>
    <n v="50"/>
    <n v="61"/>
    <n v="0"/>
    <n v="60.38"/>
    <n v="150.26"/>
    <m/>
    <n v="94.517694765168258"/>
    <n v="136.62265710865657"/>
    <n v="0"/>
    <n v="363.78950000000003"/>
    <n v="905.31650000000002"/>
    <n v="0"/>
    <n v="569.46911096013878"/>
    <n v="823.15150907965585"/>
  </r>
  <r>
    <s v="Regular"/>
    <x v="0"/>
    <x v="1"/>
    <x v="0"/>
    <x v="0"/>
    <x v="0"/>
    <x v="0"/>
    <x v="2"/>
    <x v="0"/>
    <n v="21263"/>
    <n v="21263"/>
    <n v="0"/>
    <n v="0"/>
    <n v="0"/>
    <n v="0"/>
    <n v="69"/>
    <x v="0"/>
    <n v="0"/>
    <n v="46"/>
    <n v="0"/>
    <n v="0"/>
    <n v="34.479999999999997"/>
    <n v="0"/>
    <n v="0"/>
    <n v="37.721850071081427"/>
    <m/>
    <m/>
    <n v="733148.24"/>
    <n v="0"/>
    <n v="0"/>
    <n v="802079.6980614044"/>
    <n v="0"/>
    <n v="0"/>
  </r>
  <r>
    <s v="Sistema de Compensação"/>
    <x v="0"/>
    <x v="1"/>
    <x v="0"/>
    <x v="0"/>
    <x v="0"/>
    <x v="0"/>
    <x v="2"/>
    <x v="0"/>
    <n v="227"/>
    <n v="227"/>
    <n v="0"/>
    <n v="0"/>
    <n v="0"/>
    <n v="0"/>
    <n v="2"/>
    <x v="0"/>
    <n v="0"/>
    <n v="46"/>
    <n v="0"/>
    <n v="0"/>
    <n v="34.479999999999997"/>
    <n v="0"/>
    <n v="0"/>
    <n v="37.721850071081427"/>
    <m/>
    <m/>
    <n v="7826.9599999999991"/>
    <n v="0"/>
    <n v="0"/>
    <n v="8562.8599661354838"/>
    <n v="0"/>
    <n v="0"/>
  </r>
  <r>
    <s v="Regular"/>
    <x v="0"/>
    <x v="1"/>
    <x v="0"/>
    <x v="0"/>
    <x v="0"/>
    <x v="0"/>
    <x v="2"/>
    <x v="1"/>
    <n v="21128"/>
    <n v="21128"/>
    <n v="0"/>
    <n v="0"/>
    <n v="0"/>
    <n v="0"/>
    <n v="69"/>
    <x v="0"/>
    <n v="0"/>
    <n v="46"/>
    <n v="0"/>
    <n v="0"/>
    <n v="34.479999999999997"/>
    <n v="0"/>
    <n v="0"/>
    <n v="37.721850071081427"/>
    <m/>
    <m/>
    <n v="728493.44"/>
    <n v="0"/>
    <n v="0"/>
    <n v="796987.24830180837"/>
    <n v="0"/>
    <n v="0"/>
  </r>
  <r>
    <s v="Sistema de Compensação"/>
    <x v="0"/>
    <x v="1"/>
    <x v="0"/>
    <x v="0"/>
    <x v="0"/>
    <x v="0"/>
    <x v="2"/>
    <x v="1"/>
    <n v="255"/>
    <n v="255"/>
    <n v="0"/>
    <n v="0"/>
    <n v="0"/>
    <n v="0"/>
    <n v="2"/>
    <x v="0"/>
    <n v="0"/>
    <n v="46"/>
    <n v="0"/>
    <n v="0"/>
    <n v="34.479999999999997"/>
    <n v="0"/>
    <n v="0"/>
    <n v="37.721850071081427"/>
    <m/>
    <m/>
    <n v="8792.4"/>
    <n v="0"/>
    <n v="0"/>
    <n v="9619.0717681257647"/>
    <n v="0"/>
    <n v="0"/>
  </r>
  <r>
    <s v="Regular"/>
    <x v="0"/>
    <x v="1"/>
    <x v="0"/>
    <x v="0"/>
    <x v="0"/>
    <x v="0"/>
    <x v="2"/>
    <x v="2"/>
    <n v="21149"/>
    <n v="21149"/>
    <n v="0"/>
    <n v="0"/>
    <n v="0"/>
    <n v="0"/>
    <n v="69"/>
    <x v="0"/>
    <n v="0"/>
    <n v="46"/>
    <n v="0"/>
    <n v="0"/>
    <n v="34.479999999999997"/>
    <n v="0"/>
    <n v="0"/>
    <n v="37.721850071081427"/>
    <m/>
    <m/>
    <n v="729217.5199999999"/>
    <n v="0"/>
    <n v="0"/>
    <n v="797779.40715330106"/>
    <n v="0"/>
    <n v="0"/>
  </r>
  <r>
    <s v="Sistema de Compensação"/>
    <x v="0"/>
    <x v="1"/>
    <x v="0"/>
    <x v="0"/>
    <x v="0"/>
    <x v="0"/>
    <x v="2"/>
    <x v="2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3"/>
    <n v="21322"/>
    <n v="21322"/>
    <n v="0"/>
    <n v="0"/>
    <n v="0"/>
    <n v="0"/>
    <n v="69"/>
    <x v="0"/>
    <n v="0"/>
    <n v="46"/>
    <n v="0"/>
    <n v="0"/>
    <n v="34.479999999999997"/>
    <n v="0"/>
    <n v="0"/>
    <n v="37.721850071081427"/>
    <m/>
    <m/>
    <n v="735182.55999999994"/>
    <n v="0"/>
    <n v="0"/>
    <n v="804305.28721559816"/>
    <n v="0"/>
    <n v="0"/>
  </r>
  <r>
    <s v="Sistema de Compensação"/>
    <x v="0"/>
    <x v="1"/>
    <x v="0"/>
    <x v="0"/>
    <x v="0"/>
    <x v="0"/>
    <x v="2"/>
    <x v="3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4"/>
    <n v="21350"/>
    <n v="21350"/>
    <n v="0"/>
    <n v="0"/>
    <n v="0"/>
    <n v="0"/>
    <n v="70"/>
    <x v="0"/>
    <n v="0"/>
    <n v="46"/>
    <n v="0"/>
    <n v="0"/>
    <n v="34.479999999999997"/>
    <n v="0"/>
    <n v="0"/>
    <n v="37.721850071081427"/>
    <m/>
    <m/>
    <n v="736147.99999999988"/>
    <n v="0"/>
    <n v="0"/>
    <n v="805361.49901758844"/>
    <n v="0"/>
    <n v="0"/>
  </r>
  <r>
    <s v="Sistema de Compensação"/>
    <x v="0"/>
    <x v="1"/>
    <x v="0"/>
    <x v="0"/>
    <x v="0"/>
    <x v="0"/>
    <x v="2"/>
    <x v="4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5"/>
    <n v="21312"/>
    <n v="21312"/>
    <n v="0"/>
    <n v="0"/>
    <n v="0"/>
    <n v="0"/>
    <n v="69"/>
    <x v="0"/>
    <n v="0"/>
    <n v="46"/>
    <n v="0"/>
    <n v="0"/>
    <n v="34.479999999999997"/>
    <n v="0"/>
    <n v="0"/>
    <n v="37.721850071081427"/>
    <m/>
    <m/>
    <n v="734837.75999999989"/>
    <n v="0"/>
    <n v="0"/>
    <n v="803928.06871488737"/>
    <n v="0"/>
    <n v="0"/>
  </r>
  <r>
    <s v="Sistema de Compensação"/>
    <x v="0"/>
    <x v="1"/>
    <x v="0"/>
    <x v="0"/>
    <x v="0"/>
    <x v="0"/>
    <x v="2"/>
    <x v="5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6"/>
    <n v="21284"/>
    <n v="21284"/>
    <n v="0"/>
    <n v="0"/>
    <n v="0"/>
    <n v="0"/>
    <n v="70"/>
    <x v="0"/>
    <n v="0"/>
    <n v="46"/>
    <n v="0"/>
    <n v="0"/>
    <n v="34.479999999999997"/>
    <n v="0"/>
    <n v="0"/>
    <n v="37.721850071081427"/>
    <m/>
    <m/>
    <n v="733872.32"/>
    <n v="0"/>
    <n v="0"/>
    <n v="802871.85691289708"/>
    <n v="0"/>
    <n v="0"/>
  </r>
  <r>
    <s v="Sistema de Compensação"/>
    <x v="0"/>
    <x v="1"/>
    <x v="0"/>
    <x v="0"/>
    <x v="0"/>
    <x v="0"/>
    <x v="2"/>
    <x v="6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7"/>
    <n v="21330"/>
    <n v="21330"/>
    <n v="0"/>
    <n v="0"/>
    <n v="0"/>
    <n v="0"/>
    <n v="70"/>
    <x v="0"/>
    <n v="0"/>
    <n v="46"/>
    <n v="0"/>
    <n v="0"/>
    <n v="34.479999999999997"/>
    <n v="0"/>
    <n v="0"/>
    <n v="37.721850071081427"/>
    <m/>
    <m/>
    <n v="735458.39999999991"/>
    <n v="0"/>
    <n v="0"/>
    <n v="804607.06201616686"/>
    <n v="0"/>
    <n v="0"/>
  </r>
  <r>
    <s v="Sistema de Compensação"/>
    <x v="0"/>
    <x v="1"/>
    <x v="0"/>
    <x v="0"/>
    <x v="0"/>
    <x v="0"/>
    <x v="2"/>
    <x v="7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8"/>
    <n v="21932"/>
    <n v="21932"/>
    <n v="0"/>
    <n v="0"/>
    <n v="0"/>
    <n v="0"/>
    <n v="70"/>
    <x v="0"/>
    <n v="0"/>
    <n v="46"/>
    <n v="0"/>
    <n v="0"/>
    <n v="34.479999999999997"/>
    <n v="0"/>
    <n v="0"/>
    <n v="37.721850071081427"/>
    <m/>
    <m/>
    <n v="756215.36"/>
    <n v="0"/>
    <n v="0"/>
    <n v="827315.61575895781"/>
    <n v="0"/>
    <n v="0"/>
  </r>
  <r>
    <s v="Sistema de Compensação"/>
    <x v="0"/>
    <x v="1"/>
    <x v="0"/>
    <x v="0"/>
    <x v="0"/>
    <x v="0"/>
    <x v="2"/>
    <x v="8"/>
    <n v="240"/>
    <n v="240"/>
    <n v="0"/>
    <n v="0"/>
    <n v="0"/>
    <n v="0"/>
    <n v="2"/>
    <x v="0"/>
    <n v="0"/>
    <n v="46"/>
    <n v="0"/>
    <n v="0"/>
    <n v="34.479999999999997"/>
    <n v="0"/>
    <n v="0"/>
    <n v="37.721850071081427"/>
    <m/>
    <m/>
    <n v="8275.1999999999989"/>
    <n v="0"/>
    <n v="0"/>
    <n v="9053.2440170595419"/>
    <n v="0"/>
    <n v="0"/>
  </r>
  <r>
    <s v="Regular"/>
    <x v="0"/>
    <x v="1"/>
    <x v="0"/>
    <x v="0"/>
    <x v="0"/>
    <x v="0"/>
    <x v="2"/>
    <x v="9"/>
    <n v="21802"/>
    <n v="21802"/>
    <n v="0"/>
    <n v="0"/>
    <n v="0"/>
    <n v="0"/>
    <n v="70"/>
    <x v="0"/>
    <n v="0"/>
    <n v="46"/>
    <n v="0"/>
    <n v="0"/>
    <n v="34.479999999999997"/>
    <n v="0"/>
    <n v="0"/>
    <n v="37.721850071081427"/>
    <m/>
    <m/>
    <n v="751732.96"/>
    <n v="0"/>
    <n v="0"/>
    <n v="822411.77524971729"/>
    <n v="0"/>
    <n v="0"/>
  </r>
  <r>
    <s v="Sistema de Compensação"/>
    <x v="0"/>
    <x v="1"/>
    <x v="0"/>
    <x v="0"/>
    <x v="0"/>
    <x v="0"/>
    <x v="2"/>
    <x v="9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2"/>
    <x v="10"/>
    <n v="21750"/>
    <n v="21750"/>
    <n v="0"/>
    <n v="0"/>
    <n v="0"/>
    <n v="0"/>
    <n v="71"/>
    <x v="0"/>
    <n v="0"/>
    <n v="46"/>
    <n v="0"/>
    <n v="0"/>
    <n v="34.479999999999997"/>
    <n v="0"/>
    <n v="0"/>
    <n v="37.721850071081427"/>
    <m/>
    <m/>
    <n v="749939.99999999988"/>
    <n v="0"/>
    <n v="0"/>
    <n v="820450.23904602102"/>
    <n v="0"/>
    <n v="0"/>
  </r>
  <r>
    <s v="Sistema de Compensação"/>
    <x v="0"/>
    <x v="1"/>
    <x v="0"/>
    <x v="0"/>
    <x v="0"/>
    <x v="0"/>
    <x v="2"/>
    <x v="10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PROJETADO"/>
    <x v="0"/>
    <x v="1"/>
    <x v="0"/>
    <x v="0"/>
    <x v="0"/>
    <x v="0"/>
    <x v="2"/>
    <x v="11"/>
    <n v="21750"/>
    <n v="21750"/>
    <n v="0"/>
    <n v="0"/>
    <n v="0"/>
    <n v="0"/>
    <n v="71"/>
    <x v="0"/>
    <n v="0"/>
    <n v="46"/>
    <n v="0"/>
    <n v="0"/>
    <n v="34.479999999999997"/>
    <n v="0"/>
    <n v="0"/>
    <n v="37.721850071081427"/>
    <m/>
    <m/>
    <n v="749939.99999999988"/>
    <n v="0"/>
    <n v="0"/>
    <n v="820450.23904602102"/>
    <n v="0"/>
    <n v="0"/>
  </r>
  <r>
    <s v="PROJETADO"/>
    <x v="0"/>
    <x v="1"/>
    <x v="0"/>
    <x v="0"/>
    <x v="0"/>
    <x v="0"/>
    <x v="2"/>
    <x v="11"/>
    <n v="130"/>
    <n v="130"/>
    <n v="0"/>
    <n v="0"/>
    <n v="0"/>
    <n v="0"/>
    <n v="1"/>
    <x v="0"/>
    <n v="0"/>
    <n v="46"/>
    <n v="0"/>
    <n v="0"/>
    <n v="34.479999999999997"/>
    <n v="0"/>
    <n v="0"/>
    <n v="37.721850071081427"/>
    <m/>
    <m/>
    <n v="4482.3999999999996"/>
    <n v="0"/>
    <n v="0"/>
    <n v="4903.8405092405856"/>
    <n v="0"/>
    <n v="0"/>
  </r>
  <r>
    <s v="Regular"/>
    <x v="0"/>
    <x v="1"/>
    <x v="0"/>
    <x v="0"/>
    <x v="0"/>
    <x v="0"/>
    <x v="1"/>
    <x v="0"/>
    <n v="0"/>
    <n v="0"/>
    <n v="84.843999999999994"/>
    <n v="84.843999999999994"/>
    <n v="84.843999999999994"/>
    <n v="84.843999999999994"/>
    <n v="0"/>
    <x v="0"/>
    <n v="0"/>
    <n v="0"/>
    <n v="35"/>
    <n v="70"/>
    <n v="0"/>
    <n v="2676.16"/>
    <n v="150.26"/>
    <m/>
    <n v="2626.6795212185111"/>
    <n v="136.62265710865657"/>
    <n v="0"/>
    <n v="227056.11903999996"/>
    <n v="12748.659439999998"/>
    <n v="0"/>
    <n v="222857.99729826333"/>
    <n v="11591.612719726858"/>
  </r>
  <r>
    <s v="Sistema de Compensação"/>
    <x v="0"/>
    <x v="1"/>
    <x v="0"/>
    <x v="0"/>
    <x v="0"/>
    <x v="0"/>
    <x v="1"/>
    <x v="0"/>
    <n v="0"/>
    <n v="0"/>
    <n v="0.59099999999999997"/>
    <n v="0.59099999999999997"/>
    <n v="0.59099999999999997"/>
    <n v="0.59099999999999997"/>
    <n v="0"/>
    <x v="0"/>
    <n v="0"/>
    <n v="0"/>
    <n v="35"/>
    <n v="70"/>
    <n v="0"/>
    <n v="2676.16"/>
    <n v="150.26"/>
    <m/>
    <n v="2626.6795212185111"/>
    <n v="136.62265710865657"/>
    <n v="0"/>
    <n v="1581.6105599999999"/>
    <n v="88.803659999999994"/>
    <n v="0"/>
    <n v="1552.36759704014"/>
    <n v="80.743990351216027"/>
  </r>
  <r>
    <s v="Regular"/>
    <x v="0"/>
    <x v="1"/>
    <x v="0"/>
    <x v="0"/>
    <x v="0"/>
    <x v="0"/>
    <x v="1"/>
    <x v="1"/>
    <n v="0"/>
    <n v="0"/>
    <n v="67.459999999999994"/>
    <n v="67.459999999999994"/>
    <n v="67.459999999999994"/>
    <n v="67.459999999999994"/>
    <n v="0"/>
    <x v="0"/>
    <n v="0"/>
    <n v="0"/>
    <n v="35"/>
    <n v="70"/>
    <n v="0"/>
    <n v="2676.16"/>
    <n v="150.26"/>
    <m/>
    <n v="2626.6795212185111"/>
    <n v="136.62265710865657"/>
    <n v="0"/>
    <n v="180533.75359999997"/>
    <n v="10136.539599999998"/>
    <n v="0"/>
    <n v="177195.80050140075"/>
    <n v="9216.5644485499706"/>
  </r>
  <r>
    <s v="Sistema de Compensação"/>
    <x v="0"/>
    <x v="1"/>
    <x v="0"/>
    <x v="0"/>
    <x v="0"/>
    <x v="0"/>
    <x v="1"/>
    <x v="1"/>
    <n v="0"/>
    <n v="0"/>
    <n v="0.57399999999999995"/>
    <n v="0.57399999999999995"/>
    <n v="0.57399999999999995"/>
    <n v="0.57399999999999995"/>
    <n v="0"/>
    <x v="0"/>
    <n v="0"/>
    <n v="0"/>
    <n v="35"/>
    <n v="70"/>
    <n v="0"/>
    <n v="2676.16"/>
    <n v="150.26"/>
    <m/>
    <n v="2626.6795212185111"/>
    <n v="136.62265710865657"/>
    <n v="0"/>
    <n v="1536.1158399999997"/>
    <n v="86.249239999999986"/>
    <n v="0"/>
    <n v="1507.7140451794253"/>
    <n v="78.421405180368865"/>
  </r>
  <r>
    <s v="Regular"/>
    <x v="0"/>
    <x v="1"/>
    <x v="0"/>
    <x v="0"/>
    <x v="0"/>
    <x v="0"/>
    <x v="1"/>
    <x v="2"/>
    <n v="0"/>
    <n v="0"/>
    <n v="74.069999999999993"/>
    <n v="74.069999999999993"/>
    <n v="74.069999999999993"/>
    <n v="74.069999999999993"/>
    <n v="0"/>
    <x v="0"/>
    <n v="0"/>
    <n v="0"/>
    <n v="35"/>
    <n v="70"/>
    <n v="0"/>
    <n v="2676.16"/>
    <n v="150.26"/>
    <m/>
    <n v="2626.6795212185111"/>
    <n v="136.62265710865657"/>
    <n v="0"/>
    <n v="198223.17119999998"/>
    <n v="11129.758199999998"/>
    <n v="0"/>
    <n v="194558.15213665509"/>
    <n v="10119.640212038192"/>
  </r>
  <r>
    <s v="Sistema de Compensação"/>
    <x v="0"/>
    <x v="1"/>
    <x v="0"/>
    <x v="0"/>
    <x v="0"/>
    <x v="0"/>
    <x v="1"/>
    <x v="2"/>
    <n v="0"/>
    <n v="0"/>
    <n v="0.54500000000000004"/>
    <n v="0.54500000000000004"/>
    <n v="0.54500000000000004"/>
    <n v="0.54500000000000004"/>
    <n v="0"/>
    <x v="0"/>
    <n v="0"/>
    <n v="0"/>
    <n v="35"/>
    <n v="70"/>
    <n v="0"/>
    <n v="2676.16"/>
    <n v="150.26"/>
    <m/>
    <n v="2626.6795212185111"/>
    <n v="136.62265710865657"/>
    <n v="0"/>
    <n v="1458.5072"/>
    <n v="81.8917"/>
    <n v="0"/>
    <n v="1431.5403390640886"/>
    <n v="74.45934812421784"/>
  </r>
  <r>
    <s v="Regular"/>
    <x v="0"/>
    <x v="1"/>
    <x v="0"/>
    <x v="0"/>
    <x v="0"/>
    <x v="0"/>
    <x v="1"/>
    <x v="3"/>
    <n v="0"/>
    <n v="0"/>
    <n v="83.748999999999995"/>
    <n v="83.748999999999995"/>
    <n v="83.748999999999995"/>
    <n v="83.748999999999995"/>
    <n v="0"/>
    <x v="0"/>
    <n v="0"/>
    <n v="0"/>
    <n v="35"/>
    <n v="70"/>
    <n v="0"/>
    <n v="2676.16"/>
    <n v="150.26"/>
    <m/>
    <n v="2626.6795212185111"/>
    <n v="136.62265710865657"/>
    <n v="0"/>
    <n v="224125.72383999996"/>
    <n v="12584.124739999999"/>
    <n v="0"/>
    <n v="219981.78322252908"/>
    <n v="11442.010910192877"/>
  </r>
  <r>
    <s v="Regular"/>
    <x v="0"/>
    <x v="1"/>
    <x v="0"/>
    <x v="0"/>
    <x v="0"/>
    <x v="0"/>
    <x v="1"/>
    <x v="4"/>
    <n v="0"/>
    <n v="0"/>
    <n v="70.064999999999998"/>
    <n v="70.064999999999998"/>
    <n v="70.064999999999998"/>
    <n v="70.064999999999998"/>
    <n v="0"/>
    <x v="0"/>
    <n v="0"/>
    <n v="0"/>
    <n v="35"/>
    <n v="70"/>
    <n v="0"/>
    <n v="2676.16"/>
    <n v="150.26"/>
    <m/>
    <n v="2626.6795212185111"/>
    <n v="136.62265710865657"/>
    <n v="0"/>
    <n v="187505.15039999998"/>
    <n v="10527.966899999999"/>
    <n v="0"/>
    <n v="184038.30065417496"/>
    <n v="9572.4664703180224"/>
  </r>
  <r>
    <s v="Sistema de Compensação"/>
    <x v="0"/>
    <x v="1"/>
    <x v="0"/>
    <x v="0"/>
    <x v="0"/>
    <x v="0"/>
    <x v="1"/>
    <x v="4"/>
    <n v="0"/>
    <n v="0"/>
    <n v="0.83"/>
    <n v="0.83"/>
    <n v="0.83"/>
    <n v="0.83"/>
    <n v="0"/>
    <x v="0"/>
    <n v="0"/>
    <n v="0"/>
    <n v="35"/>
    <n v="70"/>
    <n v="0"/>
    <n v="2676.16"/>
    <n v="150.26"/>
    <m/>
    <n v="2626.6795212185111"/>
    <n v="136.62265710865657"/>
    <n v="0"/>
    <n v="2221.2127999999998"/>
    <n v="124.71579999999999"/>
    <n v="0"/>
    <n v="2180.1440026113642"/>
    <n v="113.39680540018495"/>
  </r>
  <r>
    <s v="Regular"/>
    <x v="0"/>
    <x v="1"/>
    <x v="0"/>
    <x v="0"/>
    <x v="0"/>
    <x v="0"/>
    <x v="1"/>
    <x v="5"/>
    <n v="0"/>
    <n v="0"/>
    <n v="85.513999999999996"/>
    <n v="85.513999999999996"/>
    <n v="85.513999999999996"/>
    <n v="85.513999999999996"/>
    <n v="0"/>
    <x v="0"/>
    <n v="0"/>
    <n v="0"/>
    <n v="35"/>
    <n v="70"/>
    <n v="0"/>
    <n v="2676.16"/>
    <n v="150.26"/>
    <m/>
    <n v="2626.6795212185111"/>
    <n v="136.62265710865657"/>
    <n v="0"/>
    <n v="228849.14623999997"/>
    <n v="12849.333639999999"/>
    <n v="0"/>
    <n v="224617.87257747975"/>
    <n v="11683.149899989658"/>
  </r>
  <r>
    <s v="Regular"/>
    <x v="0"/>
    <x v="1"/>
    <x v="0"/>
    <x v="0"/>
    <x v="0"/>
    <x v="0"/>
    <x v="1"/>
    <x v="6"/>
    <n v="0"/>
    <n v="0"/>
    <n v="80.924000000000007"/>
    <n v="80.924000000000007"/>
    <n v="80.924000000000007"/>
    <n v="80.924000000000007"/>
    <n v="0"/>
    <x v="0"/>
    <n v="0"/>
    <n v="0"/>
    <n v="35"/>
    <n v="70"/>
    <n v="0"/>
    <n v="2676.16"/>
    <n v="150.26"/>
    <m/>
    <n v="2626.6795212185111"/>
    <n v="136.62265710865657"/>
    <n v="0"/>
    <n v="216565.57184000002"/>
    <n v="12159.640240000001"/>
    <n v="0"/>
    <n v="212561.4135750868"/>
    <n v="11056.051903860925"/>
  </r>
  <r>
    <s v="Sistema de Compensação"/>
    <x v="0"/>
    <x v="1"/>
    <x v="0"/>
    <x v="0"/>
    <x v="0"/>
    <x v="0"/>
    <x v="1"/>
    <x v="6"/>
    <n v="0"/>
    <n v="0"/>
    <n v="0.44700000000000001"/>
    <n v="0.44700000000000001"/>
    <n v="0.44700000000000001"/>
    <n v="0.44700000000000001"/>
    <n v="0"/>
    <x v="0"/>
    <n v="0"/>
    <n v="0"/>
    <n v="35"/>
    <n v="70"/>
    <n v="0"/>
    <n v="2676.16"/>
    <n v="150.26"/>
    <m/>
    <n v="2626.6795212185111"/>
    <n v="136.62265710865657"/>
    <n v="0"/>
    <n v="1196.24352"/>
    <n v="67.166219999999996"/>
    <n v="0"/>
    <n v="1174.1257459846745"/>
    <n v="61.070327727569484"/>
  </r>
  <r>
    <s v="Regular"/>
    <x v="0"/>
    <x v="1"/>
    <x v="0"/>
    <x v="0"/>
    <x v="0"/>
    <x v="0"/>
    <x v="1"/>
    <x v="7"/>
    <n v="0"/>
    <n v="0"/>
    <n v="94.688999999999993"/>
    <n v="94.688999999999993"/>
    <n v="94.688999999999993"/>
    <n v="94.688999999999993"/>
    <n v="0"/>
    <x v="0"/>
    <n v="0"/>
    <n v="0"/>
    <n v="35"/>
    <n v="70"/>
    <n v="0"/>
    <n v="2676.16"/>
    <n v="150.26"/>
    <m/>
    <n v="2626.6795212185111"/>
    <n v="136.62265710865657"/>
    <n v="0"/>
    <n v="253402.91423999995"/>
    <n v="14227.969139999997"/>
    <n v="0"/>
    <n v="248717.65718465959"/>
    <n v="12936.662778961581"/>
  </r>
  <r>
    <s v="Sistema de Compensação"/>
    <x v="0"/>
    <x v="1"/>
    <x v="0"/>
    <x v="0"/>
    <x v="0"/>
    <x v="0"/>
    <x v="1"/>
    <x v="7"/>
    <n v="0"/>
    <n v="0"/>
    <n v="0.40100000000000002"/>
    <n v="0.40100000000000002"/>
    <n v="0.40100000000000002"/>
    <n v="0.40100000000000002"/>
    <n v="0"/>
    <x v="0"/>
    <n v="0"/>
    <n v="0"/>
    <n v="35"/>
    <n v="70"/>
    <n v="0"/>
    <n v="2676.16"/>
    <n v="150.26"/>
    <m/>
    <n v="2626.6795212185111"/>
    <n v="136.62265710865657"/>
    <n v="0"/>
    <n v="1073.1401599999999"/>
    <n v="60.254260000000002"/>
    <n v="0"/>
    <n v="1053.2984880086231"/>
    <n v="54.78568550057129"/>
  </r>
  <r>
    <s v="Regular"/>
    <x v="0"/>
    <x v="1"/>
    <x v="0"/>
    <x v="0"/>
    <x v="0"/>
    <x v="0"/>
    <x v="1"/>
    <x v="8"/>
    <n v="0"/>
    <n v="0"/>
    <n v="98.71"/>
    <n v="98.71"/>
    <n v="98.71"/>
    <n v="98.71"/>
    <n v="0"/>
    <x v="0"/>
    <n v="0"/>
    <n v="0"/>
    <n v="35"/>
    <n v="70"/>
    <n v="0"/>
    <n v="2676.16"/>
    <n v="150.26"/>
    <m/>
    <n v="2626.6795212185111"/>
    <n v="136.62265710865657"/>
    <n v="0"/>
    <n v="264163.7536"/>
    <n v="14832.164599999998"/>
    <n v="0"/>
    <n v="259279.53553947923"/>
    <n v="13486.022483195489"/>
  </r>
  <r>
    <s v="Sistema de Compensação"/>
    <x v="0"/>
    <x v="1"/>
    <x v="0"/>
    <x v="0"/>
    <x v="0"/>
    <x v="0"/>
    <x v="1"/>
    <x v="8"/>
    <n v="0"/>
    <n v="0"/>
    <n v="0.55800000000000005"/>
    <n v="0.55800000000000005"/>
    <n v="0.55800000000000005"/>
    <n v="0.55800000000000005"/>
    <n v="0"/>
    <x v="0"/>
    <n v="0"/>
    <n v="0"/>
    <n v="35"/>
    <n v="70"/>
    <n v="0"/>
    <n v="2676.16"/>
    <n v="150.26"/>
    <m/>
    <n v="2626.6795212185111"/>
    <n v="136.62265710865657"/>
    <n v="0"/>
    <n v="1493.29728"/>
    <n v="83.845079999999996"/>
    <n v="0"/>
    <n v="1465.6871728399294"/>
    <n v="76.235442666630377"/>
  </r>
  <r>
    <s v="Regular"/>
    <x v="0"/>
    <x v="1"/>
    <x v="0"/>
    <x v="0"/>
    <x v="0"/>
    <x v="0"/>
    <x v="1"/>
    <x v="9"/>
    <n v="0"/>
    <n v="0"/>
    <n v="90.647999999999996"/>
    <n v="90.647999999999996"/>
    <n v="90.647999999999996"/>
    <n v="90.647999999999996"/>
    <n v="0"/>
    <x v="0"/>
    <n v="0"/>
    <n v="0"/>
    <n v="35"/>
    <n v="70"/>
    <n v="0"/>
    <n v="2676.16"/>
    <n v="150.26"/>
    <m/>
    <n v="2626.6795212185111"/>
    <n v="136.62265710865657"/>
    <n v="0"/>
    <n v="242588.55167999998"/>
    <n v="13620.768479999999"/>
    <n v="0"/>
    <n v="238103.24523941558"/>
    <n v="12384.570621585501"/>
  </r>
  <r>
    <s v="Sistema de Compensação"/>
    <x v="0"/>
    <x v="1"/>
    <x v="0"/>
    <x v="0"/>
    <x v="0"/>
    <x v="0"/>
    <x v="1"/>
    <x v="9"/>
    <n v="0"/>
    <n v="0"/>
    <n v="0.51900000000000002"/>
    <n v="0.51900000000000002"/>
    <n v="0.51900000000000002"/>
    <n v="0.51900000000000002"/>
    <n v="0"/>
    <x v="0"/>
    <n v="0"/>
    <n v="0"/>
    <n v="35"/>
    <n v="70"/>
    <n v="0"/>
    <n v="2676.16"/>
    <n v="150.26"/>
    <m/>
    <n v="2626.6795212185111"/>
    <n v="136.62265710865657"/>
    <n v="0"/>
    <n v="1388.92704"/>
    <n v="77.984939999999995"/>
    <n v="0"/>
    <n v="1363.2466715124074"/>
    <n v="70.907159039392766"/>
  </r>
  <r>
    <s v="Regular"/>
    <x v="0"/>
    <x v="1"/>
    <x v="0"/>
    <x v="0"/>
    <x v="0"/>
    <x v="0"/>
    <x v="1"/>
    <x v="10"/>
    <n v="0"/>
    <n v="0"/>
    <n v="116.777"/>
    <n v="116.777"/>
    <n v="116.777"/>
    <n v="116.777"/>
    <n v="0"/>
    <x v="0"/>
    <n v="0"/>
    <n v="0"/>
    <n v="35"/>
    <n v="70"/>
    <n v="0"/>
    <n v="2676.16"/>
    <n v="150.26"/>
    <m/>
    <n v="2626.6795212185111"/>
    <n v="136.62265710865657"/>
    <n v="0"/>
    <n v="312513.93631999998"/>
    <n v="17546.91202"/>
    <n v="0"/>
    <n v="306735.75444933405"/>
    <n v="15954.384029177589"/>
  </r>
  <r>
    <s v="Sistema de Compensação"/>
    <x v="0"/>
    <x v="1"/>
    <x v="0"/>
    <x v="0"/>
    <x v="0"/>
    <x v="0"/>
    <x v="1"/>
    <x v="10"/>
    <n v="0"/>
    <n v="0"/>
    <n v="0.27500000000000002"/>
    <n v="0.27500000000000002"/>
    <n v="0.27500000000000002"/>
    <n v="0.27500000000000002"/>
    <n v="0"/>
    <x v="0"/>
    <n v="0"/>
    <n v="0"/>
    <n v="35"/>
    <n v="70"/>
    <n v="0"/>
    <n v="2676.16"/>
    <n v="150.26"/>
    <m/>
    <n v="2626.6795212185111"/>
    <n v="136.62265710865657"/>
    <n v="0"/>
    <n v="735.94400000000007"/>
    <n v="41.3215"/>
    <n v="0"/>
    <n v="722.33686833509057"/>
    <n v="37.571230704880563"/>
  </r>
  <r>
    <s v="PROJETADO"/>
    <x v="0"/>
    <x v="1"/>
    <x v="0"/>
    <x v="0"/>
    <x v="0"/>
    <x v="0"/>
    <x v="1"/>
    <x v="11"/>
    <n v="0"/>
    <n v="0"/>
    <n v="116.777"/>
    <n v="116.777"/>
    <n v="116.777"/>
    <n v="116.777"/>
    <n v="0"/>
    <x v="0"/>
    <n v="0"/>
    <n v="0"/>
    <n v="35"/>
    <n v="70"/>
    <n v="0"/>
    <n v="2676.16"/>
    <n v="150.26"/>
    <m/>
    <n v="2626.6795212185111"/>
    <n v="136.62265710865657"/>
    <n v="0"/>
    <n v="312513.93631999998"/>
    <n v="17546.91202"/>
    <n v="0"/>
    <n v="306735.75444933405"/>
    <n v="15954.384029177589"/>
  </r>
  <r>
    <s v="PROJETADO"/>
    <x v="0"/>
    <x v="1"/>
    <x v="0"/>
    <x v="0"/>
    <x v="0"/>
    <x v="0"/>
    <x v="1"/>
    <x v="11"/>
    <n v="0"/>
    <n v="0"/>
    <n v="0.27500000000000002"/>
    <n v="0.27500000000000002"/>
    <n v="0.27500000000000002"/>
    <n v="0.27500000000000002"/>
    <n v="0"/>
    <x v="0"/>
    <n v="0"/>
    <n v="0"/>
    <n v="35"/>
    <n v="70"/>
    <n v="0"/>
    <n v="2676.16"/>
    <n v="150.26"/>
    <m/>
    <n v="2626.6795212185111"/>
    <n v="136.62265710865657"/>
    <n v="0"/>
    <n v="735.94400000000007"/>
    <n v="41.3215"/>
    <n v="0"/>
    <n v="722.33686833509057"/>
    <n v="37.571230704880563"/>
  </r>
  <r>
    <s v="Regular"/>
    <x v="0"/>
    <x v="1"/>
    <x v="2"/>
    <x v="0"/>
    <x v="0"/>
    <x v="0"/>
    <x v="0"/>
    <x v="0"/>
    <n v="0"/>
    <n v="0"/>
    <n v="1.8740000000000001"/>
    <n v="1.8740000000000001"/>
    <n v="1.8740000000000001"/>
    <n v="1.8740000000000001"/>
    <n v="0"/>
    <x v="0"/>
    <n v="0"/>
    <n v="0"/>
    <n v="50"/>
    <n v="61"/>
    <n v="0"/>
    <n v="60.38"/>
    <n v="150.26"/>
    <m/>
    <n v="94.517694765168258"/>
    <n v="136.62265710865657"/>
    <n v="0"/>
    <n v="113.15212000000001"/>
    <n v="281.58724000000001"/>
    <n v="0"/>
    <n v="177.12615998992533"/>
    <n v="256.03085942162244"/>
  </r>
  <r>
    <s v="Regular"/>
    <x v="0"/>
    <x v="1"/>
    <x v="2"/>
    <x v="0"/>
    <x v="0"/>
    <x v="0"/>
    <x v="0"/>
    <x v="1"/>
    <n v="0"/>
    <n v="0"/>
    <n v="2.0419999999999998"/>
    <n v="2.0419999999999998"/>
    <n v="2.0419999999999998"/>
    <n v="2.0419999999999998"/>
    <n v="0"/>
    <x v="0"/>
    <n v="0"/>
    <n v="0"/>
    <n v="50"/>
    <n v="61"/>
    <n v="0"/>
    <n v="60.38"/>
    <n v="150.26"/>
    <m/>
    <n v="94.517694765168258"/>
    <n v="136.62265710865657"/>
    <n v="0"/>
    <n v="123.29595999999999"/>
    <n v="306.83091999999994"/>
    <n v="0"/>
    <n v="193.00513271047356"/>
    <n v="278.98346581587668"/>
  </r>
  <r>
    <s v="Regular"/>
    <x v="0"/>
    <x v="1"/>
    <x v="2"/>
    <x v="0"/>
    <x v="0"/>
    <x v="0"/>
    <x v="0"/>
    <x v="2"/>
    <n v="0"/>
    <n v="0"/>
    <n v="2.0819999999999999"/>
    <n v="2.0819999999999999"/>
    <n v="2.0819999999999999"/>
    <n v="2.0819999999999999"/>
    <n v="0"/>
    <x v="0"/>
    <n v="0"/>
    <n v="0"/>
    <n v="50"/>
    <n v="61"/>
    <n v="0"/>
    <n v="60.38"/>
    <n v="150.26"/>
    <m/>
    <n v="94.517694765168258"/>
    <n v="136.62265710865657"/>
    <n v="0"/>
    <n v="125.71115999999999"/>
    <n v="312.84131999999994"/>
    <n v="0"/>
    <n v="196.78584050108029"/>
    <n v="284.44837210022297"/>
  </r>
  <r>
    <s v="Regular"/>
    <x v="0"/>
    <x v="1"/>
    <x v="2"/>
    <x v="0"/>
    <x v="0"/>
    <x v="0"/>
    <x v="0"/>
    <x v="3"/>
    <n v="0"/>
    <n v="0"/>
    <n v="2.8079999999999998"/>
    <n v="2.8079999999999998"/>
    <n v="2.8079999999999998"/>
    <n v="2.8079999999999998"/>
    <n v="0"/>
    <x v="0"/>
    <n v="0"/>
    <n v="0"/>
    <n v="50"/>
    <n v="61"/>
    <n v="0"/>
    <n v="60.38"/>
    <n v="150.26"/>
    <m/>
    <n v="94.517694765168258"/>
    <n v="136.62265710865657"/>
    <n v="0"/>
    <n v="169.54704000000001"/>
    <n v="421.93007999999998"/>
    <n v="0"/>
    <n v="265.40568690059246"/>
    <n v="383.63642116110765"/>
  </r>
  <r>
    <s v="Regular"/>
    <x v="0"/>
    <x v="1"/>
    <x v="2"/>
    <x v="0"/>
    <x v="0"/>
    <x v="0"/>
    <x v="0"/>
    <x v="4"/>
    <n v="0"/>
    <n v="0"/>
    <n v="1.3180000000000001"/>
    <n v="1.3180000000000001"/>
    <n v="1.3180000000000001"/>
    <n v="1.3180000000000001"/>
    <n v="0"/>
    <x v="0"/>
    <n v="0"/>
    <n v="0"/>
    <n v="50"/>
    <n v="61"/>
    <n v="0"/>
    <n v="60.38"/>
    <n v="150.26"/>
    <m/>
    <n v="94.517694765168258"/>
    <n v="136.62265710865657"/>
    <n v="0"/>
    <n v="79.580840000000009"/>
    <n v="198.04267999999999"/>
    <n v="0"/>
    <n v="124.57432170049177"/>
    <n v="180.06866206920935"/>
  </r>
  <r>
    <s v="Regular"/>
    <x v="0"/>
    <x v="1"/>
    <x v="2"/>
    <x v="0"/>
    <x v="0"/>
    <x v="0"/>
    <x v="0"/>
    <x v="5"/>
    <n v="0"/>
    <n v="0"/>
    <n v="0.60299999999999998"/>
    <n v="0.60299999999999998"/>
    <n v="0.60299999999999998"/>
    <n v="0.60299999999999998"/>
    <n v="0"/>
    <x v="0"/>
    <n v="0"/>
    <n v="0"/>
    <n v="50"/>
    <n v="61"/>
    <n v="0"/>
    <n v="60.38"/>
    <n v="150.26"/>
    <m/>
    <n v="94.517694765168258"/>
    <n v="136.62265710865657"/>
    <n v="0"/>
    <n v="36.409140000000001"/>
    <n v="90.606779999999986"/>
    <n v="0"/>
    <n v="56.994169943396457"/>
    <n v="82.383462236519904"/>
  </r>
  <r>
    <s v="Regular"/>
    <x v="0"/>
    <x v="1"/>
    <x v="2"/>
    <x v="0"/>
    <x v="0"/>
    <x v="0"/>
    <x v="0"/>
    <x v="6"/>
    <n v="0"/>
    <n v="0"/>
    <n v="2.5779999999999998"/>
    <n v="2.5779999999999998"/>
    <n v="2.5779999999999998"/>
    <n v="2.5779999999999998"/>
    <n v="0"/>
    <x v="0"/>
    <n v="0"/>
    <n v="0"/>
    <n v="50"/>
    <n v="61"/>
    <n v="0"/>
    <n v="60.38"/>
    <n v="150.26"/>
    <m/>
    <n v="94.517694765168258"/>
    <n v="136.62265710865657"/>
    <n v="0"/>
    <n v="155.65964"/>
    <n v="387.37027999999998"/>
    <n v="0"/>
    <n v="243.66661710460374"/>
    <n v="352.2132100261166"/>
  </r>
  <r>
    <s v="Regular"/>
    <x v="0"/>
    <x v="1"/>
    <x v="2"/>
    <x v="0"/>
    <x v="0"/>
    <x v="0"/>
    <x v="0"/>
    <x v="7"/>
    <n v="0"/>
    <n v="0"/>
    <n v="4.1619999999999999"/>
    <n v="4.1619999999999999"/>
    <n v="4.1619999999999999"/>
    <n v="4.1619999999999999"/>
    <n v="0"/>
    <x v="0"/>
    <n v="0"/>
    <n v="0"/>
    <n v="50"/>
    <n v="61"/>
    <n v="0"/>
    <n v="60.38"/>
    <n v="150.26"/>
    <m/>
    <n v="94.517694765168258"/>
    <n v="136.62265710865657"/>
    <n v="0"/>
    <n v="251.30155999999999"/>
    <n v="625.38211999999999"/>
    <n v="0"/>
    <n v="393.38264561263026"/>
    <n v="568.62349888622862"/>
  </r>
  <r>
    <s v="Regular"/>
    <x v="0"/>
    <x v="1"/>
    <x v="2"/>
    <x v="0"/>
    <x v="0"/>
    <x v="0"/>
    <x v="0"/>
    <x v="8"/>
    <n v="0"/>
    <n v="0"/>
    <n v="1.706"/>
    <n v="1.706"/>
    <n v="1.706"/>
    <n v="1.706"/>
    <n v="0"/>
    <x v="0"/>
    <n v="0"/>
    <n v="0"/>
    <n v="50"/>
    <n v="61"/>
    <n v="0"/>
    <n v="60.38"/>
    <n v="150.26"/>
    <m/>
    <n v="94.517694765168258"/>
    <n v="136.62265710865657"/>
    <n v="0"/>
    <n v="103.00828"/>
    <n v="256.34355999999997"/>
    <n v="0"/>
    <n v="161.24718726937704"/>
    <n v="233.07825302736811"/>
  </r>
  <r>
    <s v="Regular"/>
    <x v="0"/>
    <x v="1"/>
    <x v="2"/>
    <x v="0"/>
    <x v="0"/>
    <x v="0"/>
    <x v="0"/>
    <x v="9"/>
    <n v="0"/>
    <n v="0"/>
    <n v="1.6539999999999999"/>
    <n v="1.6539999999999999"/>
    <n v="1.6539999999999999"/>
    <n v="1.6539999999999999"/>
    <n v="0"/>
    <x v="0"/>
    <n v="0"/>
    <n v="0"/>
    <n v="50"/>
    <n v="61"/>
    <n v="0"/>
    <n v="60.38"/>
    <n v="150.26"/>
    <m/>
    <n v="94.517694765168258"/>
    <n v="136.62265710865657"/>
    <n v="0"/>
    <n v="99.868520000000004"/>
    <n v="248.53003999999999"/>
    <n v="0"/>
    <n v="156.33226714158829"/>
    <n v="225.97387485771796"/>
  </r>
  <r>
    <s v="Regular"/>
    <x v="0"/>
    <x v="1"/>
    <x v="2"/>
    <x v="0"/>
    <x v="0"/>
    <x v="0"/>
    <x v="0"/>
    <x v="10"/>
    <n v="0"/>
    <n v="0"/>
    <n v="1.732"/>
    <n v="1.732"/>
    <n v="1.732"/>
    <n v="1.732"/>
    <n v="0"/>
    <x v="0"/>
    <n v="0"/>
    <n v="0"/>
    <n v="50"/>
    <n v="61"/>
    <n v="0"/>
    <n v="60.38"/>
    <n v="150.26"/>
    <m/>
    <n v="94.517694765168258"/>
    <n v="136.62265710865657"/>
    <n v="0"/>
    <n v="104.57816"/>
    <n v="260.25031999999999"/>
    <n v="0"/>
    <n v="163.70464733327142"/>
    <n v="236.63044211219318"/>
  </r>
  <r>
    <s v="PROJETADO"/>
    <x v="0"/>
    <x v="1"/>
    <x v="2"/>
    <x v="0"/>
    <x v="0"/>
    <x v="0"/>
    <x v="0"/>
    <x v="11"/>
    <n v="0"/>
    <n v="0"/>
    <n v="1.732"/>
    <n v="1.732"/>
    <n v="1.732"/>
    <n v="1.732"/>
    <n v="0"/>
    <x v="0"/>
    <n v="0"/>
    <n v="0"/>
    <n v="50"/>
    <n v="61"/>
    <n v="0"/>
    <n v="60.38"/>
    <n v="150.26"/>
    <m/>
    <n v="94.517694765168258"/>
    <n v="136.62265710865657"/>
    <n v="0"/>
    <n v="104.57816"/>
    <n v="260.25031999999999"/>
    <n v="0"/>
    <n v="163.70464733327142"/>
    <n v="236.63044211219318"/>
  </r>
  <r>
    <s v="Regular"/>
    <x v="0"/>
    <x v="1"/>
    <x v="2"/>
    <x v="0"/>
    <x v="0"/>
    <x v="0"/>
    <x v="2"/>
    <x v="0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1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2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3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4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5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6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7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8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9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2"/>
    <x v="10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PROJETADO"/>
    <x v="0"/>
    <x v="1"/>
    <x v="2"/>
    <x v="0"/>
    <x v="0"/>
    <x v="0"/>
    <x v="2"/>
    <x v="11"/>
    <n v="75"/>
    <n v="75"/>
    <n v="0"/>
    <n v="0"/>
    <n v="0"/>
    <n v="0"/>
    <n v="1"/>
    <x v="0"/>
    <n v="0"/>
    <n v="46"/>
    <n v="0"/>
    <n v="0"/>
    <n v="34.479999999999997"/>
    <n v="0"/>
    <n v="0"/>
    <n v="37.721850071081427"/>
    <m/>
    <m/>
    <n v="2585.9999999999995"/>
    <n v="0"/>
    <n v="0"/>
    <n v="2829.1387553311069"/>
    <n v="0"/>
    <n v="0"/>
  </r>
  <r>
    <s v="Regular"/>
    <x v="0"/>
    <x v="1"/>
    <x v="2"/>
    <x v="0"/>
    <x v="0"/>
    <x v="0"/>
    <x v="1"/>
    <x v="0"/>
    <n v="0"/>
    <n v="0"/>
    <n v="8.6999999999999994E-2"/>
    <n v="8.6999999999999994E-2"/>
    <n v="8.6999999999999994E-2"/>
    <n v="8.6999999999999994E-2"/>
    <n v="0"/>
    <x v="0"/>
    <n v="0"/>
    <n v="0"/>
    <n v="35"/>
    <n v="70"/>
    <n v="0"/>
    <n v="2676.16"/>
    <n v="150.26"/>
    <m/>
    <n v="2626.6795212185111"/>
    <n v="136.62265710865657"/>
    <n v="0"/>
    <n v="232.82591999999997"/>
    <n v="13.072619999999999"/>
    <n v="0"/>
    <n v="228.52111834601044"/>
    <n v="11.886171168453121"/>
  </r>
  <r>
    <s v="Regular"/>
    <x v="0"/>
    <x v="1"/>
    <x v="2"/>
    <x v="0"/>
    <x v="0"/>
    <x v="0"/>
    <x v="1"/>
    <x v="1"/>
    <n v="0"/>
    <n v="0"/>
    <n v="9.0999999999999998E-2"/>
    <n v="9.0999999999999998E-2"/>
    <n v="9.0999999999999998E-2"/>
    <n v="9.0999999999999998E-2"/>
    <n v="0"/>
    <x v="0"/>
    <n v="0"/>
    <n v="0"/>
    <n v="35"/>
    <n v="70"/>
    <n v="0"/>
    <n v="2676.16"/>
    <n v="150.26"/>
    <m/>
    <n v="2626.6795212185111"/>
    <n v="136.62265710865657"/>
    <n v="0"/>
    <n v="243.53055999999998"/>
    <n v="13.673659999999998"/>
    <n v="0"/>
    <n v="239.02783643088452"/>
    <n v="12.432661796887748"/>
  </r>
  <r>
    <s v="Regular"/>
    <x v="0"/>
    <x v="1"/>
    <x v="2"/>
    <x v="0"/>
    <x v="0"/>
    <x v="0"/>
    <x v="1"/>
    <x v="2"/>
    <n v="0"/>
    <n v="0"/>
    <n v="9.5000000000000001E-2"/>
    <n v="9.5000000000000001E-2"/>
    <n v="9.5000000000000001E-2"/>
    <n v="9.5000000000000001E-2"/>
    <n v="0"/>
    <x v="0"/>
    <n v="0"/>
    <n v="0"/>
    <n v="35"/>
    <n v="70"/>
    <n v="0"/>
    <n v="2676.16"/>
    <n v="150.26"/>
    <m/>
    <n v="2626.6795212185111"/>
    <n v="136.62265710865657"/>
    <n v="0"/>
    <n v="254.23519999999999"/>
    <n v="14.274699999999999"/>
    <n v="0"/>
    <n v="249.53455451575857"/>
    <n v="12.979152425322374"/>
  </r>
  <r>
    <s v="Regular"/>
    <x v="0"/>
    <x v="1"/>
    <x v="2"/>
    <x v="0"/>
    <x v="0"/>
    <x v="0"/>
    <x v="1"/>
    <x v="3"/>
    <n v="0"/>
    <n v="0"/>
    <n v="9.7000000000000003E-2"/>
    <n v="9.7000000000000003E-2"/>
    <n v="9.7000000000000003E-2"/>
    <n v="9.7000000000000003E-2"/>
    <n v="0"/>
    <x v="0"/>
    <n v="0"/>
    <n v="0"/>
    <n v="35"/>
    <n v="70"/>
    <n v="0"/>
    <n v="2676.16"/>
    <n v="150.26"/>
    <m/>
    <n v="2626.6795212185111"/>
    <n v="136.62265710865657"/>
    <n v="0"/>
    <n v="259.58751999999998"/>
    <n v="14.57522"/>
    <n v="0"/>
    <n v="254.78791355819558"/>
    <n v="13.252397739539688"/>
  </r>
  <r>
    <s v="Regular"/>
    <x v="0"/>
    <x v="1"/>
    <x v="2"/>
    <x v="0"/>
    <x v="0"/>
    <x v="0"/>
    <x v="1"/>
    <x v="4"/>
    <n v="0"/>
    <n v="0"/>
    <n v="9.4E-2"/>
    <n v="9.4E-2"/>
    <n v="9.4E-2"/>
    <n v="9.4E-2"/>
    <n v="0"/>
    <x v="0"/>
    <n v="0"/>
    <n v="0"/>
    <n v="35"/>
    <n v="70"/>
    <n v="0"/>
    <n v="2676.16"/>
    <n v="150.26"/>
    <m/>
    <n v="2626.6795212185111"/>
    <n v="136.62265710865657"/>
    <n v="0"/>
    <n v="251.55903999999998"/>
    <n v="14.12444"/>
    <n v="0"/>
    <n v="246.90787499454004"/>
    <n v="12.842529768213717"/>
  </r>
  <r>
    <s v="Regular"/>
    <x v="0"/>
    <x v="1"/>
    <x v="2"/>
    <x v="0"/>
    <x v="0"/>
    <x v="0"/>
    <x v="1"/>
    <x v="5"/>
    <n v="0"/>
    <n v="0"/>
    <n v="6.9000000000000006E-2"/>
    <n v="6.9000000000000006E-2"/>
    <n v="6.9000000000000006E-2"/>
    <n v="6.9000000000000006E-2"/>
    <n v="0"/>
    <x v="0"/>
    <n v="0"/>
    <n v="0"/>
    <n v="35"/>
    <n v="70"/>
    <n v="0"/>
    <n v="2676.16"/>
    <n v="150.26"/>
    <m/>
    <n v="2626.6795212185111"/>
    <n v="136.62265710865657"/>
    <n v="0"/>
    <n v="184.65504000000001"/>
    <n v="10.367940000000001"/>
    <n v="0"/>
    <n v="181.24088696407728"/>
    <n v="9.4269633404973039"/>
  </r>
  <r>
    <s v="Regular"/>
    <x v="0"/>
    <x v="1"/>
    <x v="2"/>
    <x v="0"/>
    <x v="0"/>
    <x v="0"/>
    <x v="1"/>
    <x v="6"/>
    <n v="0"/>
    <n v="0"/>
    <n v="8.4000000000000005E-2"/>
    <n v="8.4000000000000005E-2"/>
    <n v="8.4000000000000005E-2"/>
    <n v="8.4000000000000005E-2"/>
    <n v="0"/>
    <x v="0"/>
    <n v="0"/>
    <n v="0"/>
    <n v="35"/>
    <n v="70"/>
    <n v="0"/>
    <n v="2676.16"/>
    <n v="150.26"/>
    <m/>
    <n v="2626.6795212185111"/>
    <n v="136.62265710865657"/>
    <n v="0"/>
    <n v="224.79743999999999"/>
    <n v="12.621840000000001"/>
    <n v="0"/>
    <n v="220.64107978235495"/>
    <n v="11.476303197127152"/>
  </r>
  <r>
    <s v="Regular"/>
    <x v="0"/>
    <x v="1"/>
    <x v="2"/>
    <x v="0"/>
    <x v="0"/>
    <x v="0"/>
    <x v="1"/>
    <x v="7"/>
    <n v="0"/>
    <n v="0"/>
    <n v="0.14299999999999999"/>
    <n v="0.14299999999999999"/>
    <n v="0.14299999999999999"/>
    <n v="0.14299999999999999"/>
    <n v="0"/>
    <x v="0"/>
    <n v="0"/>
    <n v="0"/>
    <n v="35"/>
    <n v="70"/>
    <n v="0"/>
    <n v="2676.16"/>
    <n v="150.26"/>
    <m/>
    <n v="2626.6795212185111"/>
    <n v="136.62265710865657"/>
    <n v="0"/>
    <n v="382.69087999999994"/>
    <n v="21.487179999999999"/>
    <n v="0"/>
    <n v="375.61517153424705"/>
    <n v="19.537039966537886"/>
  </r>
  <r>
    <s v="Regular"/>
    <x v="0"/>
    <x v="1"/>
    <x v="2"/>
    <x v="0"/>
    <x v="0"/>
    <x v="0"/>
    <x v="1"/>
    <x v="8"/>
    <n v="0"/>
    <n v="0"/>
    <n v="8.6999999999999994E-2"/>
    <n v="8.6999999999999994E-2"/>
    <n v="8.6999999999999994E-2"/>
    <n v="8.6999999999999994E-2"/>
    <n v="0"/>
    <x v="0"/>
    <n v="0"/>
    <n v="0"/>
    <n v="35"/>
    <n v="70"/>
    <n v="0"/>
    <n v="2676.16"/>
    <n v="150.26"/>
    <m/>
    <n v="2626.6795212185111"/>
    <n v="136.62265710865657"/>
    <n v="0"/>
    <n v="232.82591999999997"/>
    <n v="13.072619999999999"/>
    <n v="0"/>
    <n v="228.52111834601044"/>
    <n v="11.886171168453121"/>
  </r>
  <r>
    <s v="Regular"/>
    <x v="0"/>
    <x v="1"/>
    <x v="2"/>
    <x v="0"/>
    <x v="0"/>
    <x v="0"/>
    <x v="1"/>
    <x v="9"/>
    <n v="0"/>
    <n v="0"/>
    <n v="9.0999999999999998E-2"/>
    <n v="9.0999999999999998E-2"/>
    <n v="9.0999999999999998E-2"/>
    <n v="9.0999999999999998E-2"/>
    <n v="0"/>
    <x v="0"/>
    <n v="0"/>
    <n v="0"/>
    <n v="35"/>
    <n v="70"/>
    <n v="0"/>
    <n v="2676.16"/>
    <n v="150.26"/>
    <m/>
    <n v="2626.6795212185111"/>
    <n v="136.62265710865657"/>
    <n v="0"/>
    <n v="243.53055999999998"/>
    <n v="13.673659999999998"/>
    <n v="0"/>
    <n v="239.02783643088452"/>
    <n v="12.432661796887748"/>
  </r>
  <r>
    <s v="Regular"/>
    <x v="0"/>
    <x v="1"/>
    <x v="2"/>
    <x v="0"/>
    <x v="0"/>
    <x v="0"/>
    <x v="1"/>
    <x v="10"/>
    <n v="0"/>
    <n v="0"/>
    <n v="8.6999999999999994E-2"/>
    <n v="8.6999999999999994E-2"/>
    <n v="8.6999999999999994E-2"/>
    <n v="8.6999999999999994E-2"/>
    <n v="0"/>
    <x v="0"/>
    <n v="0"/>
    <n v="0"/>
    <n v="35"/>
    <n v="70"/>
    <n v="0"/>
    <n v="2676.16"/>
    <n v="150.26"/>
    <m/>
    <n v="2626.6795212185111"/>
    <n v="136.62265710865657"/>
    <n v="0"/>
    <n v="232.82591999999997"/>
    <n v="13.072619999999999"/>
    <n v="0"/>
    <n v="228.52111834601044"/>
    <n v="11.886171168453121"/>
  </r>
  <r>
    <s v="PROJETADO"/>
    <x v="0"/>
    <x v="1"/>
    <x v="2"/>
    <x v="0"/>
    <x v="0"/>
    <x v="0"/>
    <x v="1"/>
    <x v="11"/>
    <n v="0"/>
    <n v="0"/>
    <n v="8.6999999999999994E-2"/>
    <n v="8.6999999999999994E-2"/>
    <n v="8.6999999999999994E-2"/>
    <n v="8.6999999999999994E-2"/>
    <n v="0"/>
    <x v="0"/>
    <n v="0"/>
    <n v="0"/>
    <n v="35"/>
    <n v="70"/>
    <n v="0"/>
    <n v="2676.16"/>
    <n v="150.26"/>
    <m/>
    <n v="2626.6795212185111"/>
    <n v="136.62265710865657"/>
    <n v="0"/>
    <n v="232.82591999999997"/>
    <n v="13.072619999999999"/>
    <n v="0"/>
    <n v="228.52111834601044"/>
    <n v="11.886171168453121"/>
  </r>
  <r>
    <s v="Regular"/>
    <x v="0"/>
    <x v="1"/>
    <x v="3"/>
    <x v="0"/>
    <x v="0"/>
    <x v="0"/>
    <x v="0"/>
    <x v="0"/>
    <n v="0"/>
    <n v="0"/>
    <n v="35.457000000000001"/>
    <n v="34.038719999999998"/>
    <n v="35.457000000000001"/>
    <n v="34.038719999999998"/>
    <n v="0"/>
    <x v="0"/>
    <n v="0"/>
    <n v="0"/>
    <n v="50"/>
    <n v="61"/>
    <n v="0"/>
    <n v="60.38"/>
    <n v="150.26"/>
    <m/>
    <n v="94.517694765168258"/>
    <n v="136.62265710865657"/>
    <n v="0"/>
    <n v="2055.2579135999999"/>
    <n v="5114.6580671999991"/>
    <n v="0"/>
    <n v="3217.261347157028"/>
    <n v="4650.4603709775702"/>
  </r>
  <r>
    <s v="Regular"/>
    <x v="0"/>
    <x v="1"/>
    <x v="3"/>
    <x v="0"/>
    <x v="0"/>
    <x v="0"/>
    <x v="0"/>
    <x v="1"/>
    <n v="0"/>
    <n v="0"/>
    <n v="36.095999999999997"/>
    <n v="34.652159999999995"/>
    <n v="36.095999999999997"/>
    <n v="34.652159999999995"/>
    <n v="0"/>
    <x v="0"/>
    <n v="0"/>
    <n v="0"/>
    <n v="50"/>
    <n v="61"/>
    <n v="0"/>
    <n v="60.38"/>
    <n v="150.26"/>
    <m/>
    <n v="94.517694765168258"/>
    <n v="136.62265710865657"/>
    <n v="0"/>
    <n v="2092.2974207999996"/>
    <n v="5206.8335615999986"/>
    <n v="0"/>
    <n v="3275.2422818337723"/>
    <n v="4734.2701737543039"/>
  </r>
  <r>
    <s v="Regular"/>
    <x v="0"/>
    <x v="1"/>
    <x v="3"/>
    <x v="0"/>
    <x v="0"/>
    <x v="0"/>
    <x v="0"/>
    <x v="2"/>
    <n v="0"/>
    <n v="0"/>
    <n v="37.720999999999997"/>
    <n v="36.212159999999997"/>
    <n v="37.720999999999997"/>
    <n v="36.212159999999997"/>
    <n v="0"/>
    <x v="0"/>
    <n v="0"/>
    <n v="0"/>
    <n v="50"/>
    <n v="61"/>
    <n v="0"/>
    <n v="60.38"/>
    <n v="150.26"/>
    <m/>
    <n v="94.517694765168258"/>
    <n v="136.62265710865657"/>
    <n v="0"/>
    <n v="2186.4902207999999"/>
    <n v="5441.2391615999995"/>
    <n v="0"/>
    <n v="3422.6898856674352"/>
    <n v="4947.4015188438088"/>
  </r>
  <r>
    <s v="Regular"/>
    <x v="0"/>
    <x v="1"/>
    <x v="3"/>
    <x v="0"/>
    <x v="0"/>
    <x v="0"/>
    <x v="0"/>
    <x v="3"/>
    <n v="0"/>
    <n v="0"/>
    <n v="39.991"/>
    <n v="38.391359999999999"/>
    <n v="39.991"/>
    <n v="38.391359999999999"/>
    <n v="0"/>
    <x v="0"/>
    <n v="0"/>
    <n v="0"/>
    <n v="50"/>
    <n v="61"/>
    <n v="0"/>
    <n v="60.38"/>
    <n v="150.26"/>
    <m/>
    <n v="94.517694765168258"/>
    <n v="136.62265710865657"/>
    <n v="0"/>
    <n v="2318.0703168"/>
    <n v="5768.6857535999998"/>
    <n v="0"/>
    <n v="3628.6628460996899"/>
    <n v="5245.1296132149937"/>
  </r>
  <r>
    <s v="Regular"/>
    <x v="0"/>
    <x v="1"/>
    <x v="3"/>
    <x v="0"/>
    <x v="0"/>
    <x v="0"/>
    <x v="0"/>
    <x v="4"/>
    <n v="0"/>
    <n v="0"/>
    <n v="40.545999999999999"/>
    <n v="38.924160000000001"/>
    <n v="40.545999999999999"/>
    <n v="38.924160000000001"/>
    <n v="0"/>
    <x v="0"/>
    <n v="0"/>
    <n v="0"/>
    <n v="50"/>
    <n v="61"/>
    <n v="0"/>
    <n v="60.38"/>
    <n v="150.26"/>
    <m/>
    <n v="94.517694765168258"/>
    <n v="136.62265710865657"/>
    <n v="0"/>
    <n v="2350.2407808000003"/>
    <n v="5848.7442815999993"/>
    <n v="0"/>
    <n v="3679.0218738705717"/>
    <n v="5317.9221649224855"/>
  </r>
  <r>
    <s v="Regular"/>
    <x v="0"/>
    <x v="1"/>
    <x v="3"/>
    <x v="0"/>
    <x v="0"/>
    <x v="0"/>
    <x v="0"/>
    <x v="5"/>
    <n v="0"/>
    <n v="0"/>
    <n v="40.496000000000002"/>
    <n v="38.876159999999999"/>
    <n v="40.496000000000002"/>
    <n v="38.876159999999999"/>
    <n v="0"/>
    <x v="0"/>
    <n v="0"/>
    <n v="0"/>
    <n v="50"/>
    <n v="61"/>
    <n v="0"/>
    <n v="60.38"/>
    <n v="150.26"/>
    <m/>
    <n v="94.517694765168258"/>
    <n v="136.62265710865657"/>
    <n v="0"/>
    <n v="2347.3425407999998"/>
    <n v="5841.5318015999992"/>
    <n v="0"/>
    <n v="3674.4850245218436"/>
    <n v="5311.3642773812699"/>
  </r>
  <r>
    <s v="Regular"/>
    <x v="0"/>
    <x v="1"/>
    <x v="3"/>
    <x v="0"/>
    <x v="0"/>
    <x v="0"/>
    <x v="0"/>
    <x v="6"/>
    <n v="0"/>
    <n v="0"/>
    <n v="39.790999999999997"/>
    <n v="38.199359999999999"/>
    <n v="39.790999999999997"/>
    <n v="38.199359999999999"/>
    <n v="0"/>
    <x v="0"/>
    <n v="0"/>
    <n v="0"/>
    <n v="50"/>
    <n v="61"/>
    <n v="0"/>
    <n v="60.38"/>
    <n v="150.26"/>
    <m/>
    <n v="94.517694765168258"/>
    <n v="136.62265710865657"/>
    <n v="0"/>
    <n v="2306.4773568000001"/>
    <n v="5739.8358335999992"/>
    <n v="0"/>
    <n v="3610.5154487047776"/>
    <n v="5218.898063050131"/>
  </r>
  <r>
    <s v="Regular"/>
    <x v="0"/>
    <x v="1"/>
    <x v="3"/>
    <x v="0"/>
    <x v="0"/>
    <x v="0"/>
    <x v="0"/>
    <x v="7"/>
    <n v="0"/>
    <n v="0"/>
    <n v="38.433"/>
    <n v="36.895679999999999"/>
    <n v="38.433"/>
    <n v="36.895679999999999"/>
    <n v="0"/>
    <x v="0"/>
    <n v="0"/>
    <n v="0"/>
    <n v="50"/>
    <n v="61"/>
    <n v="0"/>
    <n v="60.38"/>
    <n v="150.26"/>
    <m/>
    <n v="94.517694765168258"/>
    <n v="136.62265710865657"/>
    <n v="0"/>
    <n v="2227.7611584000001"/>
    <n v="5543.9448767999993"/>
    <n v="0"/>
    <n v="3487.2946203933229"/>
    <n v="5040.7858374307179"/>
  </r>
  <r>
    <s v="Regular"/>
    <x v="0"/>
    <x v="1"/>
    <x v="3"/>
    <x v="0"/>
    <x v="0"/>
    <x v="0"/>
    <x v="0"/>
    <x v="8"/>
    <n v="0"/>
    <n v="0"/>
    <n v="34.738999999999997"/>
    <n v="33.349439999999994"/>
    <n v="34.738999999999997"/>
    <n v="33.349439999999994"/>
    <n v="0"/>
    <x v="0"/>
    <n v="0"/>
    <n v="0"/>
    <n v="50"/>
    <n v="61"/>
    <n v="0"/>
    <n v="60.38"/>
    <n v="150.26"/>
    <m/>
    <n v="94.517694765168258"/>
    <n v="136.62265710865657"/>
    <n v="0"/>
    <n v="2013.6391871999997"/>
    <n v="5011.0868543999986"/>
    <n v="0"/>
    <n v="3152.1121905092923"/>
    <n v="4556.2891058857149"/>
  </r>
  <r>
    <s v="Regular"/>
    <x v="0"/>
    <x v="1"/>
    <x v="3"/>
    <x v="0"/>
    <x v="0"/>
    <x v="0"/>
    <x v="0"/>
    <x v="9"/>
    <n v="0"/>
    <n v="0"/>
    <n v="33.51"/>
    <n v="32.169599999999996"/>
    <n v="33.51"/>
    <n v="32.169599999999996"/>
    <n v="0"/>
    <x v="0"/>
    <n v="0"/>
    <n v="0"/>
    <n v="50"/>
    <n v="61"/>
    <n v="0"/>
    <n v="60.38"/>
    <n v="150.26"/>
    <m/>
    <n v="94.517694765168258"/>
    <n v="136.62265710865657"/>
    <n v="0"/>
    <n v="1942.4004479999999"/>
    <n v="4833.8040959999989"/>
    <n v="0"/>
    <n v="3040.5964335175563"/>
    <n v="4395.0962301226373"/>
  </r>
  <r>
    <s v="Regular"/>
    <x v="0"/>
    <x v="1"/>
    <x v="3"/>
    <x v="0"/>
    <x v="0"/>
    <x v="0"/>
    <x v="0"/>
    <x v="10"/>
    <n v="0"/>
    <n v="0"/>
    <n v="32.932000000000002"/>
    <n v="31.614720000000002"/>
    <n v="32.932000000000002"/>
    <n v="31.614720000000002"/>
    <n v="0"/>
    <x v="0"/>
    <n v="0"/>
    <n v="0"/>
    <n v="50"/>
    <n v="61"/>
    <n v="0"/>
    <n v="60.38"/>
    <n v="150.26"/>
    <m/>
    <n v="94.517694765168258"/>
    <n v="136.62265710865657"/>
    <n v="0"/>
    <n v="1908.8967936000001"/>
    <n v="4750.4278272000001"/>
    <n v="0"/>
    <n v="2988.1504550462605"/>
    <n v="4319.2870501461875"/>
  </r>
  <r>
    <s v="PROJETADO"/>
    <x v="0"/>
    <x v="1"/>
    <x v="3"/>
    <x v="0"/>
    <x v="0"/>
    <x v="0"/>
    <x v="0"/>
    <x v="11"/>
    <n v="0"/>
    <n v="0"/>
    <n v="32.932000000000002"/>
    <n v="31.614720000000002"/>
    <n v="32.932000000000002"/>
    <n v="31.614720000000002"/>
    <n v="0"/>
    <x v="0"/>
    <n v="0"/>
    <n v="0"/>
    <n v="50"/>
    <n v="61"/>
    <n v="0"/>
    <n v="60.38"/>
    <n v="150.26"/>
    <m/>
    <n v="94.517694765168258"/>
    <n v="136.62265710865657"/>
    <n v="0"/>
    <n v="1908.8967936000001"/>
    <n v="4750.4278272000001"/>
    <n v="0"/>
    <n v="2988.1504550462605"/>
    <n v="4319.2870501461875"/>
  </r>
  <r>
    <s v="Regular"/>
    <x v="0"/>
    <x v="1"/>
    <x v="3"/>
    <x v="0"/>
    <x v="0"/>
    <x v="0"/>
    <x v="2"/>
    <x v="0"/>
    <n v="134"/>
    <n v="128.63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4435.5071999999991"/>
    <n v="0"/>
    <n v="0"/>
    <n v="4852.5387931439145"/>
    <n v="0"/>
    <n v="0"/>
  </r>
  <r>
    <s v="Regular"/>
    <x v="0"/>
    <x v="1"/>
    <x v="3"/>
    <x v="0"/>
    <x v="0"/>
    <x v="0"/>
    <x v="2"/>
    <x v="1"/>
    <n v="142"/>
    <n v="136.32"/>
    <n v="0"/>
    <n v="0"/>
    <n v="0"/>
    <n v="0"/>
    <n v="1"/>
    <x v="0"/>
    <n v="0"/>
    <n v="46"/>
    <n v="0"/>
    <n v="0"/>
    <n v="34.479999999999997"/>
    <n v="0"/>
    <n v="0"/>
    <n v="37.721850071081427"/>
    <m/>
    <m/>
    <n v="4700.3135999999995"/>
    <n v="0"/>
    <n v="0"/>
    <n v="5142.2426016898198"/>
    <n v="0"/>
    <n v="0"/>
  </r>
  <r>
    <s v="Regular"/>
    <x v="0"/>
    <x v="1"/>
    <x v="3"/>
    <x v="0"/>
    <x v="0"/>
    <x v="0"/>
    <x v="2"/>
    <x v="2"/>
    <n v="153"/>
    <n v="146.88"/>
    <n v="0"/>
    <n v="0"/>
    <n v="0"/>
    <n v="0"/>
    <n v="1"/>
    <x v="0"/>
    <n v="0"/>
    <n v="46"/>
    <n v="0"/>
    <n v="0"/>
    <n v="34.479999999999997"/>
    <n v="0"/>
    <n v="0"/>
    <n v="37.721850071081427"/>
    <m/>
    <m/>
    <n v="5064.4223999999995"/>
    <n v="0"/>
    <n v="0"/>
    <n v="5540.58533844044"/>
    <n v="0"/>
    <n v="0"/>
  </r>
  <r>
    <s v="Regular"/>
    <x v="0"/>
    <x v="1"/>
    <x v="3"/>
    <x v="0"/>
    <x v="0"/>
    <x v="0"/>
    <x v="2"/>
    <x v="3"/>
    <n v="150"/>
    <n v="144"/>
    <n v="0"/>
    <n v="0"/>
    <n v="0"/>
    <n v="0"/>
    <n v="1"/>
    <x v="0"/>
    <n v="0"/>
    <n v="46"/>
    <n v="0"/>
    <n v="0"/>
    <n v="34.479999999999997"/>
    <n v="0"/>
    <n v="0"/>
    <n v="37.721850071081427"/>
    <m/>
    <m/>
    <n v="4965.12"/>
    <n v="0"/>
    <n v="0"/>
    <n v="5431.9464102357251"/>
    <n v="0"/>
    <n v="0"/>
  </r>
  <r>
    <s v="Regular"/>
    <x v="0"/>
    <x v="1"/>
    <x v="3"/>
    <x v="0"/>
    <x v="0"/>
    <x v="0"/>
    <x v="2"/>
    <x v="4"/>
    <n v="167"/>
    <n v="160.32"/>
    <n v="0"/>
    <n v="0"/>
    <n v="0"/>
    <n v="0"/>
    <n v="1"/>
    <x v="0"/>
    <n v="0"/>
    <n v="46"/>
    <n v="0"/>
    <n v="0"/>
    <n v="34.479999999999997"/>
    <n v="0"/>
    <n v="0"/>
    <n v="37.721850071081427"/>
    <m/>
    <m/>
    <n v="5527.833599999999"/>
    <n v="0"/>
    <n v="0"/>
    <n v="6047.567003395774"/>
    <n v="0"/>
    <n v="0"/>
  </r>
  <r>
    <s v="Regular"/>
    <x v="0"/>
    <x v="1"/>
    <x v="3"/>
    <x v="0"/>
    <x v="0"/>
    <x v="0"/>
    <x v="2"/>
    <x v="5"/>
    <n v="163"/>
    <n v="156.47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5395.4303999999993"/>
    <n v="0"/>
    <n v="0"/>
    <n v="5902.7150991228209"/>
    <n v="0"/>
    <n v="0"/>
  </r>
  <r>
    <s v="Regular"/>
    <x v="0"/>
    <x v="1"/>
    <x v="3"/>
    <x v="0"/>
    <x v="0"/>
    <x v="0"/>
    <x v="2"/>
    <x v="6"/>
    <n v="151"/>
    <n v="144.96"/>
    <n v="0"/>
    <n v="0"/>
    <n v="0"/>
    <n v="0"/>
    <n v="1"/>
    <x v="0"/>
    <n v="0"/>
    <n v="46"/>
    <n v="0"/>
    <n v="0"/>
    <n v="34.479999999999997"/>
    <n v="0"/>
    <n v="0"/>
    <n v="37.721850071081427"/>
    <m/>
    <m/>
    <n v="4998.2208000000001"/>
    <n v="0"/>
    <n v="0"/>
    <n v="5468.1593863039643"/>
    <n v="0"/>
    <n v="0"/>
  </r>
  <r>
    <s v="Regular"/>
    <x v="0"/>
    <x v="1"/>
    <x v="3"/>
    <x v="0"/>
    <x v="0"/>
    <x v="0"/>
    <x v="2"/>
    <x v="7"/>
    <n v="151"/>
    <n v="144.96"/>
    <n v="0"/>
    <n v="0"/>
    <n v="0"/>
    <n v="0"/>
    <n v="1"/>
    <x v="0"/>
    <n v="0"/>
    <n v="46"/>
    <n v="0"/>
    <n v="0"/>
    <n v="34.479999999999997"/>
    <n v="0"/>
    <n v="0"/>
    <n v="37.721850071081427"/>
    <m/>
    <m/>
    <n v="4998.2208000000001"/>
    <n v="0"/>
    <n v="0"/>
    <n v="5468.1593863039643"/>
    <n v="0"/>
    <n v="0"/>
  </r>
  <r>
    <s v="Regular"/>
    <x v="0"/>
    <x v="1"/>
    <x v="3"/>
    <x v="0"/>
    <x v="0"/>
    <x v="0"/>
    <x v="2"/>
    <x v="8"/>
    <n v="170"/>
    <n v="163.19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5627.1359999999995"/>
    <n v="0"/>
    <n v="0"/>
    <n v="6156.2059316004888"/>
    <n v="0"/>
    <n v="0"/>
  </r>
  <r>
    <s v="Regular"/>
    <x v="0"/>
    <x v="1"/>
    <x v="3"/>
    <x v="0"/>
    <x v="0"/>
    <x v="0"/>
    <x v="2"/>
    <x v="9"/>
    <n v="170"/>
    <n v="163.19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5627.1359999999995"/>
    <n v="0"/>
    <n v="0"/>
    <n v="6156.2059316004888"/>
    <n v="0"/>
    <n v="0"/>
  </r>
  <r>
    <s v="Regular"/>
    <x v="0"/>
    <x v="1"/>
    <x v="3"/>
    <x v="0"/>
    <x v="0"/>
    <x v="0"/>
    <x v="2"/>
    <x v="10"/>
    <n v="170"/>
    <n v="163.19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5627.1359999999995"/>
    <n v="0"/>
    <n v="0"/>
    <n v="6156.2059316004888"/>
    <n v="0"/>
    <n v="0"/>
  </r>
  <r>
    <s v="PROJETADO"/>
    <x v="0"/>
    <x v="1"/>
    <x v="3"/>
    <x v="0"/>
    <x v="0"/>
    <x v="0"/>
    <x v="2"/>
    <x v="11"/>
    <n v="170"/>
    <n v="163.19999999999999"/>
    <n v="0"/>
    <n v="0"/>
    <n v="0"/>
    <n v="0"/>
    <n v="1"/>
    <x v="0"/>
    <n v="0"/>
    <n v="46"/>
    <n v="0"/>
    <n v="0"/>
    <n v="34.479999999999997"/>
    <n v="0"/>
    <n v="0"/>
    <n v="37.721850071081427"/>
    <m/>
    <m/>
    <n v="5627.1359999999995"/>
    <n v="0"/>
    <n v="0"/>
    <n v="6156.2059316004888"/>
    <n v="0"/>
    <n v="0"/>
  </r>
  <r>
    <s v="Regular"/>
    <x v="0"/>
    <x v="1"/>
    <x v="3"/>
    <x v="0"/>
    <x v="0"/>
    <x v="0"/>
    <x v="1"/>
    <x v="0"/>
    <n v="0"/>
    <n v="0"/>
    <n v="0.28299999999999997"/>
    <n v="0.27167999999999998"/>
    <n v="0.28299999999999997"/>
    <n v="0.27167999999999998"/>
    <n v="0"/>
    <x v="0"/>
    <n v="0"/>
    <n v="0"/>
    <n v="35"/>
    <n v="70"/>
    <n v="0"/>
    <n v="2676.16"/>
    <n v="150.26"/>
    <m/>
    <n v="2626.6795212185111"/>
    <n v="136.62265710865657"/>
    <n v="0"/>
    <n v="727.05914879999989"/>
    <n v="40.822636799999991"/>
    <n v="0"/>
    <n v="713.61629232464509"/>
    <n v="37.117643483279814"/>
  </r>
  <r>
    <s v="Regular"/>
    <x v="0"/>
    <x v="1"/>
    <x v="3"/>
    <x v="0"/>
    <x v="0"/>
    <x v="0"/>
    <x v="1"/>
    <x v="1"/>
    <n v="0"/>
    <n v="0"/>
    <n v="0.79800000000000004"/>
    <n v="0.76607999999999998"/>
    <n v="0.79800000000000004"/>
    <n v="0.76607999999999998"/>
    <n v="0"/>
    <x v="0"/>
    <n v="0"/>
    <n v="0"/>
    <n v="35"/>
    <n v="70"/>
    <n v="0"/>
    <n v="2676.16"/>
    <n v="150.26"/>
    <m/>
    <n v="2626.6795212185111"/>
    <n v="136.62265710865657"/>
    <n v="0"/>
    <n v="2050.1526527999999"/>
    <n v="115.11118079999999"/>
    <n v="0"/>
    <n v="2012.2466476150769"/>
    <n v="104.66388515779963"/>
  </r>
  <r>
    <s v="Regular"/>
    <x v="0"/>
    <x v="1"/>
    <x v="3"/>
    <x v="0"/>
    <x v="0"/>
    <x v="0"/>
    <x v="1"/>
    <x v="2"/>
    <n v="0"/>
    <n v="0"/>
    <n v="0.65900000000000003"/>
    <n v="0.63263999999999998"/>
    <n v="0.65900000000000003"/>
    <n v="0.63263999999999998"/>
    <n v="0"/>
    <x v="0"/>
    <n v="0"/>
    <n v="0"/>
    <n v="35"/>
    <n v="70"/>
    <n v="0"/>
    <n v="2676.16"/>
    <n v="150.26"/>
    <m/>
    <n v="2626.6795212185111"/>
    <n v="136.62265710865657"/>
    <n v="0"/>
    <n v="1693.0458623999998"/>
    <n v="95.060486399999988"/>
    <n v="0"/>
    <n v="1661.7425323036789"/>
    <n v="86.432957793220496"/>
  </r>
  <r>
    <s v="Regular"/>
    <x v="0"/>
    <x v="1"/>
    <x v="3"/>
    <x v="0"/>
    <x v="0"/>
    <x v="0"/>
    <x v="1"/>
    <x v="3"/>
    <n v="0"/>
    <n v="0"/>
    <n v="1.33"/>
    <n v="1.2767999999999999"/>
    <n v="1.33"/>
    <n v="1.2767999999999999"/>
    <n v="0"/>
    <x v="0"/>
    <n v="0"/>
    <n v="0"/>
    <n v="35"/>
    <n v="70"/>
    <n v="0"/>
    <n v="2676.16"/>
    <n v="150.26"/>
    <m/>
    <n v="2626.6795212185111"/>
    <n v="136.62265710865657"/>
    <n v="0"/>
    <n v="3416.9210879999996"/>
    <n v="191.85196799999997"/>
    <n v="0"/>
    <n v="3353.7444126917949"/>
    <n v="174.43980859633271"/>
  </r>
  <r>
    <s v="Regular"/>
    <x v="0"/>
    <x v="1"/>
    <x v="3"/>
    <x v="0"/>
    <x v="0"/>
    <x v="0"/>
    <x v="1"/>
    <x v="4"/>
    <n v="0"/>
    <n v="0"/>
    <n v="1.4119999999999999"/>
    <n v="1.3555199999999998"/>
    <n v="1.4119999999999999"/>
    <n v="1.3555199999999998"/>
    <n v="0"/>
    <x v="0"/>
    <n v="0"/>
    <n v="0"/>
    <n v="35"/>
    <n v="70"/>
    <n v="0"/>
    <n v="2676.16"/>
    <n v="150.26"/>
    <m/>
    <n v="2626.6795212185111"/>
    <n v="136.62265710865657"/>
    <n v="0"/>
    <n v="3627.5884031999994"/>
    <n v="203.68043519999998"/>
    <n v="0"/>
    <n v="3560.5166246021158"/>
    <n v="185.19474416392612"/>
  </r>
  <r>
    <s v="Regular"/>
    <x v="0"/>
    <x v="1"/>
    <x v="3"/>
    <x v="0"/>
    <x v="0"/>
    <x v="0"/>
    <x v="1"/>
    <x v="5"/>
    <n v="0"/>
    <n v="0"/>
    <n v="0.27"/>
    <n v="0.25919999999999999"/>
    <n v="0.27"/>
    <n v="0.25919999999999999"/>
    <n v="0"/>
    <x v="0"/>
    <n v="0"/>
    <n v="0"/>
    <n v="35"/>
    <n v="70"/>
    <n v="0"/>
    <n v="2676.16"/>
    <n v="150.26"/>
    <m/>
    <n v="2626.6795212185111"/>
    <n v="136.62265710865657"/>
    <n v="0"/>
    <n v="693.66067199999998"/>
    <n v="38.947391999999994"/>
    <n v="0"/>
    <n v="680.83533189983802"/>
    <n v="35.41259272256378"/>
  </r>
  <r>
    <s v="Regular"/>
    <x v="0"/>
    <x v="1"/>
    <x v="3"/>
    <x v="0"/>
    <x v="0"/>
    <x v="0"/>
    <x v="1"/>
    <x v="10"/>
    <n v="0"/>
    <n v="0"/>
    <n v="7.0000000000000001E-3"/>
    <n v="6.7200000000000003E-3"/>
    <n v="7.0000000000000001E-3"/>
    <n v="6.7200000000000003E-3"/>
    <n v="0"/>
    <x v="0"/>
    <n v="0"/>
    <n v="0"/>
    <n v="35"/>
    <n v="70"/>
    <n v="0"/>
    <n v="2676.16"/>
    <n v="150.26"/>
    <m/>
    <n v="2626.6795212185111"/>
    <n v="136.62265710865657"/>
    <n v="0"/>
    <n v="17.983795199999999"/>
    <n v="1.0097472000000001"/>
    <n v="0"/>
    <n v="17.651286382588395"/>
    <n v="0.91810425577017218"/>
  </r>
  <r>
    <s v="PROJETADO"/>
    <x v="0"/>
    <x v="1"/>
    <x v="3"/>
    <x v="0"/>
    <x v="0"/>
    <x v="0"/>
    <x v="1"/>
    <x v="11"/>
    <n v="0"/>
    <n v="0"/>
    <n v="7.0000000000000001E-3"/>
    <n v="6.7200000000000003E-3"/>
    <n v="7.0000000000000001E-3"/>
    <n v="6.7200000000000003E-3"/>
    <n v="0"/>
    <x v="0"/>
    <n v="0"/>
    <n v="0"/>
    <n v="35"/>
    <n v="70"/>
    <n v="0"/>
    <n v="2676.16"/>
    <n v="150.26"/>
    <m/>
    <n v="2626.6795212185111"/>
    <n v="136.62265710865657"/>
    <n v="0"/>
    <n v="17.983795199999999"/>
    <n v="1.0097472000000001"/>
    <n v="0"/>
    <n v="17.651286382588395"/>
    <n v="0.91810425577017218"/>
  </r>
  <r>
    <s v="Regular"/>
    <x v="0"/>
    <x v="1"/>
    <x v="4"/>
    <x v="1"/>
    <x v="0"/>
    <x v="0"/>
    <x v="0"/>
    <x v="2"/>
    <n v="0"/>
    <n v="0"/>
    <n v="3.375"/>
    <n v="3.1724999999999999"/>
    <n v="3.375"/>
    <n v="3.1724999999999999"/>
    <n v="0"/>
    <x v="0"/>
    <n v="0"/>
    <n v="0"/>
    <n v="50"/>
    <n v="61"/>
    <n v="0"/>
    <n v="60.38"/>
    <n v="150.26"/>
    <m/>
    <n v="94.517694765168258"/>
    <n v="136.62265710865657"/>
    <n v="0"/>
    <n v="191.55555000000001"/>
    <n v="476.69984999999997"/>
    <n v="0"/>
    <n v="299.85738664249629"/>
    <n v="433.43537967721295"/>
  </r>
  <r>
    <s v="Regular"/>
    <x v="0"/>
    <x v="1"/>
    <x v="4"/>
    <x v="1"/>
    <x v="0"/>
    <x v="0"/>
    <x v="0"/>
    <x v="3"/>
    <n v="0"/>
    <n v="0"/>
    <n v="2.33"/>
    <n v="2.1901999999999999"/>
    <n v="2.33"/>
    <n v="2.1901999999999999"/>
    <n v="0"/>
    <x v="0"/>
    <n v="0"/>
    <n v="0"/>
    <n v="50"/>
    <n v="61"/>
    <n v="0"/>
    <n v="60.38"/>
    <n v="150.26"/>
    <m/>
    <n v="94.517694765168258"/>
    <n v="136.62265710865657"/>
    <n v="0"/>
    <n v="132.24427600000001"/>
    <n v="329.09945199999999"/>
    <n v="0"/>
    <n v="207.0126550746715"/>
    <n v="299.2309435993796"/>
  </r>
  <r>
    <s v="Regular"/>
    <x v="0"/>
    <x v="1"/>
    <x v="4"/>
    <x v="1"/>
    <x v="0"/>
    <x v="0"/>
    <x v="0"/>
    <x v="4"/>
    <n v="0"/>
    <n v="0"/>
    <n v="2.5019999999999998"/>
    <n v="2.35188"/>
    <n v="2.5019999999999998"/>
    <n v="2.35188"/>
    <n v="0"/>
    <x v="0"/>
    <n v="0"/>
    <n v="0"/>
    <n v="50"/>
    <n v="61"/>
    <n v="0"/>
    <n v="60.38"/>
    <n v="150.26"/>
    <m/>
    <n v="94.517694765168258"/>
    <n v="136.62265710865657"/>
    <n v="0"/>
    <n v="142.00651440000001"/>
    <n v="353.3934888"/>
    <n v="0"/>
    <n v="222.29427596430392"/>
    <n v="321.32009480070718"/>
  </r>
  <r>
    <s v="Regular"/>
    <x v="0"/>
    <x v="1"/>
    <x v="4"/>
    <x v="1"/>
    <x v="0"/>
    <x v="0"/>
    <x v="0"/>
    <x v="5"/>
    <n v="0"/>
    <n v="0"/>
    <n v="2.4159999999999999"/>
    <n v="2.2710400000000002"/>
    <n v="2.4159999999999999"/>
    <n v="2.2710400000000002"/>
    <n v="0"/>
    <x v="0"/>
    <n v="0"/>
    <n v="0"/>
    <n v="50"/>
    <n v="61"/>
    <n v="0"/>
    <n v="60.38"/>
    <n v="150.26"/>
    <m/>
    <n v="94.517694765168258"/>
    <n v="136.62265710865657"/>
    <n v="0"/>
    <n v="137.12539520000001"/>
    <n v="341.24647040000002"/>
    <n v="0"/>
    <n v="214.65346551948772"/>
    <n v="310.27551920004345"/>
  </r>
  <r>
    <s v="Regular"/>
    <x v="0"/>
    <x v="1"/>
    <x v="4"/>
    <x v="1"/>
    <x v="0"/>
    <x v="0"/>
    <x v="0"/>
    <x v="6"/>
    <n v="0"/>
    <n v="0"/>
    <n v="2.2210000000000001"/>
    <n v="2.0877400000000002"/>
    <n v="2.2210000000000001"/>
    <n v="2.0877400000000002"/>
    <n v="0"/>
    <x v="0"/>
    <n v="0"/>
    <n v="0"/>
    <n v="50"/>
    <n v="61"/>
    <n v="0"/>
    <n v="60.38"/>
    <n v="150.26"/>
    <m/>
    <n v="94.517694765168258"/>
    <n v="136.62265710865657"/>
    <n v="0"/>
    <n v="126.05774120000001"/>
    <n v="313.7038124"/>
    <n v="0"/>
    <n v="197.32837206903238"/>
    <n v="285.23258615202667"/>
  </r>
  <r>
    <s v="Regular"/>
    <x v="0"/>
    <x v="1"/>
    <x v="4"/>
    <x v="1"/>
    <x v="0"/>
    <x v="0"/>
    <x v="0"/>
    <x v="7"/>
    <n v="0"/>
    <n v="0"/>
    <n v="4.6870000000000003"/>
    <n v="4.40578"/>
    <n v="4.6870000000000003"/>
    <n v="4.40578"/>
    <n v="0"/>
    <x v="0"/>
    <n v="0"/>
    <n v="0"/>
    <n v="50"/>
    <n v="61"/>
    <n v="0"/>
    <n v="60.38"/>
    <n v="150.26"/>
    <m/>
    <n v="94.517694765168258"/>
    <n v="136.62265710865657"/>
    <n v="0"/>
    <n v="266.0209964"/>
    <n v="662.01250279999999"/>
    <n v="0"/>
    <n v="416.424169242483"/>
    <n v="601.92937023617696"/>
  </r>
  <r>
    <s v="Regular"/>
    <x v="0"/>
    <x v="1"/>
    <x v="4"/>
    <x v="1"/>
    <x v="0"/>
    <x v="0"/>
    <x v="0"/>
    <x v="8"/>
    <n v="0"/>
    <n v="0"/>
    <n v="4.9539999999999997"/>
    <n v="4.6567600000000002"/>
    <n v="4.9539999999999997"/>
    <n v="4.6567600000000002"/>
    <n v="0"/>
    <x v="0"/>
    <n v="0"/>
    <n v="0"/>
    <n v="50"/>
    <n v="61"/>
    <n v="0"/>
    <n v="60.38"/>
    <n v="150.26"/>
    <m/>
    <n v="94.517694765168258"/>
    <n v="136.62265710865657"/>
    <n v="0"/>
    <n v="281.17516880000005"/>
    <n v="699.72475759999998"/>
    <n v="0"/>
    <n v="440.14622027464497"/>
    <n v="636.21892471730757"/>
  </r>
  <r>
    <s v="Regular"/>
    <x v="0"/>
    <x v="1"/>
    <x v="4"/>
    <x v="1"/>
    <x v="0"/>
    <x v="0"/>
    <x v="0"/>
    <x v="9"/>
    <n v="0"/>
    <n v="0"/>
    <n v="5.3840000000000003"/>
    <n v="5.0609599999999997"/>
    <n v="5.3840000000000003"/>
    <n v="5.0609599999999997"/>
    <n v="0"/>
    <x v="0"/>
    <n v="0"/>
    <n v="0"/>
    <n v="50"/>
    <n v="61"/>
    <n v="0"/>
    <n v="60.38"/>
    <n v="150.26"/>
    <m/>
    <n v="94.517694765168258"/>
    <n v="136.62265710865657"/>
    <n v="0"/>
    <n v="305.5807648"/>
    <n v="760.45984959999987"/>
    <n v="0"/>
    <n v="478.35027249872593"/>
    <n v="691.44180272062647"/>
  </r>
  <r>
    <s v="Regular"/>
    <x v="0"/>
    <x v="1"/>
    <x v="4"/>
    <x v="1"/>
    <x v="0"/>
    <x v="0"/>
    <x v="0"/>
    <x v="10"/>
    <n v="0"/>
    <n v="0"/>
    <n v="5.2229999999999999"/>
    <n v="4.9096200000000003"/>
    <n v="5.2229999999999999"/>
    <n v="4.9096200000000003"/>
    <n v="0"/>
    <x v="0"/>
    <n v="0"/>
    <n v="0"/>
    <n v="50"/>
    <n v="61"/>
    <n v="0"/>
    <n v="60.38"/>
    <n v="150.26"/>
    <m/>
    <n v="94.517694765168258"/>
    <n v="136.62265710865657"/>
    <n v="0"/>
    <n v="296.44285560000003"/>
    <n v="737.71950119999997"/>
    <n v="0"/>
    <n v="464.04596457296543"/>
    <n v="670.76532979380249"/>
  </r>
  <r>
    <s v="PROJETADO"/>
    <x v="0"/>
    <x v="1"/>
    <x v="4"/>
    <x v="1"/>
    <x v="0"/>
    <x v="0"/>
    <x v="0"/>
    <x v="11"/>
    <n v="0"/>
    <n v="0"/>
    <n v="5.2229999999999999"/>
    <n v="4.9096200000000003"/>
    <n v="5.2229999999999999"/>
    <n v="4.9096200000000003"/>
    <n v="0"/>
    <x v="0"/>
    <n v="0"/>
    <n v="0"/>
    <n v="50"/>
    <n v="61"/>
    <n v="0"/>
    <n v="60.38"/>
    <n v="150.26"/>
    <m/>
    <n v="94.517694765168258"/>
    <n v="136.62265710865657"/>
    <n v="0"/>
    <n v="296.44285560000003"/>
    <n v="737.71950119999997"/>
    <n v="0"/>
    <n v="464.04596457296543"/>
    <n v="670.76532979380249"/>
  </r>
  <r>
    <s v="Regular"/>
    <x v="0"/>
    <x v="1"/>
    <x v="4"/>
    <x v="1"/>
    <x v="0"/>
    <x v="0"/>
    <x v="2"/>
    <x v="2"/>
    <n v="30"/>
    <n v="25.5"/>
    <n v="0"/>
    <n v="0"/>
    <n v="0"/>
    <n v="0"/>
    <n v="1"/>
    <x v="0"/>
    <n v="0"/>
    <n v="46"/>
    <n v="0"/>
    <n v="0"/>
    <n v="34.479999999999997"/>
    <n v="0"/>
    <n v="0"/>
    <n v="37.721850071081427"/>
    <m/>
    <m/>
    <n v="879.2399999999999"/>
    <n v="0"/>
    <n v="0"/>
    <n v="961.90717681257638"/>
    <n v="0"/>
    <n v="0"/>
  </r>
  <r>
    <s v="Regular"/>
    <x v="0"/>
    <x v="1"/>
    <x v="4"/>
    <x v="1"/>
    <x v="0"/>
    <x v="0"/>
    <x v="2"/>
    <x v="3"/>
    <n v="30"/>
    <n v="25.5"/>
    <n v="0"/>
    <n v="0"/>
    <n v="0"/>
    <n v="0"/>
    <n v="1"/>
    <x v="0"/>
    <n v="0"/>
    <n v="46"/>
    <n v="0"/>
    <n v="0"/>
    <n v="34.479999999999997"/>
    <n v="0"/>
    <n v="0"/>
    <n v="37.721850071081427"/>
    <m/>
    <m/>
    <n v="879.2399999999999"/>
    <n v="0"/>
    <n v="0"/>
    <n v="961.90717681257638"/>
    <n v="0"/>
    <n v="0"/>
  </r>
  <r>
    <s v="Regular"/>
    <x v="0"/>
    <x v="1"/>
    <x v="4"/>
    <x v="1"/>
    <x v="0"/>
    <x v="0"/>
    <x v="2"/>
    <x v="4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5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6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7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8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9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2"/>
    <x v="10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PROJETADO"/>
    <x v="0"/>
    <x v="1"/>
    <x v="4"/>
    <x v="1"/>
    <x v="0"/>
    <x v="0"/>
    <x v="2"/>
    <x v="11"/>
    <n v="78"/>
    <n v="66.3"/>
    <n v="0"/>
    <n v="0"/>
    <n v="0"/>
    <n v="0"/>
    <n v="1"/>
    <x v="0"/>
    <n v="0"/>
    <n v="46"/>
    <n v="0"/>
    <n v="0"/>
    <n v="34.479999999999997"/>
    <n v="0"/>
    <n v="0"/>
    <n v="37.721850071081427"/>
    <m/>
    <m/>
    <n v="2286.0239999999999"/>
    <n v="0"/>
    <n v="0"/>
    <n v="2500.9586597126986"/>
    <n v="0"/>
    <n v="0"/>
  </r>
  <r>
    <s v="Regular"/>
    <x v="0"/>
    <x v="1"/>
    <x v="4"/>
    <x v="1"/>
    <x v="0"/>
    <x v="0"/>
    <x v="1"/>
    <x v="2"/>
    <n v="0"/>
    <n v="0"/>
    <n v="0.57299999999999995"/>
    <n v="0.53861999999999999"/>
    <n v="0.57299999999999995"/>
    <n v="0.53861999999999999"/>
    <n v="0"/>
    <x v="0"/>
    <n v="0"/>
    <n v="0"/>
    <n v="35"/>
    <n v="70"/>
    <n v="0"/>
    <n v="2676.16"/>
    <n v="150.26"/>
    <m/>
    <n v="2626.6795212185111"/>
    <n v="136.62265710865657"/>
    <n v="0"/>
    <n v="1441.4332992"/>
    <n v="80.933041199999991"/>
    <n v="0"/>
    <n v="1414.7821237187145"/>
    <n v="73.5876955718646"/>
  </r>
  <r>
    <s v="Regular"/>
    <x v="0"/>
    <x v="1"/>
    <x v="4"/>
    <x v="1"/>
    <x v="0"/>
    <x v="0"/>
    <x v="1"/>
    <x v="3"/>
    <n v="0"/>
    <n v="0"/>
    <n v="0.40400000000000003"/>
    <n v="0.37975999999999999"/>
    <n v="0.40400000000000003"/>
    <n v="0.37975999999999999"/>
    <n v="0"/>
    <x v="0"/>
    <n v="0"/>
    <n v="0"/>
    <n v="35"/>
    <n v="70"/>
    <n v="0"/>
    <n v="2676.16"/>
    <n v="150.26"/>
    <m/>
    <n v="2626.6795212185111"/>
    <n v="136.62265710865657"/>
    <n v="0"/>
    <n v="1016.2985216"/>
    <n v="57.062737599999991"/>
    <n v="0"/>
    <n v="997.50781497794173"/>
    <n v="51.883820263583416"/>
  </r>
  <r>
    <s v="Regular"/>
    <x v="0"/>
    <x v="1"/>
    <x v="4"/>
    <x v="1"/>
    <x v="0"/>
    <x v="0"/>
    <x v="1"/>
    <x v="4"/>
    <n v="0"/>
    <n v="0"/>
    <n v="0.48099999999999998"/>
    <n v="0.45213999999999999"/>
    <n v="0.48099999999999998"/>
    <n v="0.45213999999999999"/>
    <n v="0"/>
    <x v="0"/>
    <n v="0"/>
    <n v="0"/>
    <n v="35"/>
    <n v="70"/>
    <n v="0"/>
    <n v="2676.16"/>
    <n v="150.26"/>
    <m/>
    <n v="2626.6795212185111"/>
    <n v="136.62265710865657"/>
    <n v="0"/>
    <n v="1209.9989823999999"/>
    <n v="67.938556399999996"/>
    <n v="0"/>
    <n v="1187.6268787237375"/>
    <n v="61.772568185107978"/>
  </r>
  <r>
    <s v="Regular"/>
    <x v="0"/>
    <x v="1"/>
    <x v="4"/>
    <x v="1"/>
    <x v="0"/>
    <x v="0"/>
    <x v="1"/>
    <x v="5"/>
    <n v="0"/>
    <n v="0"/>
    <n v="0.42699999999999999"/>
    <n v="0.40138000000000001"/>
    <n v="0.42699999999999999"/>
    <n v="0.40138000000000001"/>
    <n v="0"/>
    <x v="0"/>
    <n v="0"/>
    <n v="0"/>
    <n v="35"/>
    <n v="70"/>
    <n v="0"/>
    <n v="2676.16"/>
    <n v="150.26"/>
    <m/>
    <n v="2626.6795212185111"/>
    <n v="136.62265710865657"/>
    <n v="0"/>
    <n v="1074.1571008000001"/>
    <n v="60.311358800000001"/>
    <n v="0"/>
    <n v="1054.2966262266859"/>
    <n v="54.837602110272577"/>
  </r>
  <r>
    <s v="Regular"/>
    <x v="0"/>
    <x v="1"/>
    <x v="4"/>
    <x v="1"/>
    <x v="0"/>
    <x v="0"/>
    <x v="1"/>
    <x v="6"/>
    <n v="0"/>
    <n v="0"/>
    <n v="0.40400000000000003"/>
    <n v="0.37975999999999999"/>
    <n v="0.40400000000000003"/>
    <n v="0.37975999999999999"/>
    <n v="0"/>
    <x v="0"/>
    <n v="0"/>
    <n v="0"/>
    <n v="35"/>
    <n v="70"/>
    <n v="0"/>
    <n v="2676.16"/>
    <n v="150.26"/>
    <m/>
    <n v="2626.6795212185111"/>
    <n v="136.62265710865657"/>
    <n v="0"/>
    <n v="1016.2985216"/>
    <n v="57.062737599999991"/>
    <n v="0"/>
    <n v="997.50781497794173"/>
    <n v="51.883820263583416"/>
  </r>
  <r>
    <s v="Regular"/>
    <x v="0"/>
    <x v="1"/>
    <x v="4"/>
    <x v="1"/>
    <x v="0"/>
    <x v="0"/>
    <x v="1"/>
    <x v="7"/>
    <n v="0"/>
    <n v="0"/>
    <n v="0.68500000000000005"/>
    <n v="0.64390000000000003"/>
    <n v="0.68500000000000005"/>
    <n v="0.64390000000000003"/>
    <n v="0"/>
    <x v="0"/>
    <n v="0"/>
    <n v="0"/>
    <n v="35"/>
    <n v="70"/>
    <n v="0"/>
    <n v="2676.16"/>
    <n v="150.26"/>
    <m/>
    <n v="2626.6795212185111"/>
    <n v="136.62265710865657"/>
    <n v="0"/>
    <n v="1723.1794239999999"/>
    <n v="96.752414000000002"/>
    <n v="0"/>
    <n v="1691.3189437125993"/>
    <n v="87.971328912263971"/>
  </r>
  <r>
    <s v="Regular"/>
    <x v="0"/>
    <x v="1"/>
    <x v="4"/>
    <x v="1"/>
    <x v="0"/>
    <x v="0"/>
    <x v="1"/>
    <x v="8"/>
    <n v="0"/>
    <n v="0"/>
    <n v="0.6"/>
    <n v="0.56399999999999995"/>
    <n v="0.6"/>
    <n v="0.56399999999999995"/>
    <n v="0"/>
    <x v="0"/>
    <n v="0"/>
    <n v="0"/>
    <n v="35"/>
    <n v="70"/>
    <n v="0"/>
    <n v="2676.16"/>
    <n v="150.26"/>
    <m/>
    <n v="2626.6795212185111"/>
    <n v="136.62265710865657"/>
    <n v="0"/>
    <n v="1509.3542399999997"/>
    <n v="84.746639999999985"/>
    <n v="0"/>
    <n v="1481.4472499672402"/>
    <n v="77.055178609282294"/>
  </r>
  <r>
    <s v="Regular"/>
    <x v="0"/>
    <x v="1"/>
    <x v="4"/>
    <x v="1"/>
    <x v="0"/>
    <x v="0"/>
    <x v="1"/>
    <x v="9"/>
    <n v="0"/>
    <n v="0"/>
    <n v="0.69699999999999995"/>
    <n v="0.65517999999999998"/>
    <n v="0.69699999999999995"/>
    <n v="0.65517999999999998"/>
    <n v="0"/>
    <x v="0"/>
    <n v="0"/>
    <n v="0"/>
    <n v="35"/>
    <n v="70"/>
    <n v="0"/>
    <n v="2676.16"/>
    <n v="150.26"/>
    <m/>
    <n v="2626.6795212185111"/>
    <n v="136.62265710865657"/>
    <n v="0"/>
    <n v="1753.3665087999998"/>
    <n v="98.447346799999991"/>
    <n v="0"/>
    <n v="1720.9478887119442"/>
    <n v="89.512432484449604"/>
  </r>
  <r>
    <s v="Regular"/>
    <x v="0"/>
    <x v="1"/>
    <x v="4"/>
    <x v="1"/>
    <x v="0"/>
    <x v="0"/>
    <x v="1"/>
    <x v="10"/>
    <n v="0"/>
    <n v="0"/>
    <n v="0.65900000000000003"/>
    <n v="0.61946000000000001"/>
    <n v="0.65900000000000003"/>
    <n v="0.61946000000000001"/>
    <n v="0"/>
    <x v="0"/>
    <n v="0"/>
    <n v="0"/>
    <n v="35"/>
    <n v="70"/>
    <n v="0"/>
    <n v="2676.16"/>
    <n v="150.26"/>
    <m/>
    <n v="2626.6795212185111"/>
    <n v="136.62265710865657"/>
    <n v="0"/>
    <n v="1657.7740735999998"/>
    <n v="93.080059599999998"/>
    <n v="0"/>
    <n v="1627.122896214019"/>
    <n v="84.632271172528405"/>
  </r>
  <r>
    <s v="PROJETADO"/>
    <x v="0"/>
    <x v="1"/>
    <x v="4"/>
    <x v="1"/>
    <x v="0"/>
    <x v="0"/>
    <x v="1"/>
    <x v="11"/>
    <n v="0"/>
    <n v="0"/>
    <n v="0.65900000000000003"/>
    <n v="0.61946000000000001"/>
    <n v="0.65900000000000003"/>
    <n v="0.61946000000000001"/>
    <n v="0"/>
    <x v="0"/>
    <n v="0"/>
    <n v="0"/>
    <n v="35"/>
    <n v="70"/>
    <n v="0"/>
    <n v="2676.16"/>
    <n v="150.26"/>
    <m/>
    <n v="2626.6795212185111"/>
    <n v="136.62265710865657"/>
    <n v="0"/>
    <n v="1657.7740735999998"/>
    <n v="93.080059599999998"/>
    <n v="0"/>
    <n v="1627.122896214019"/>
    <n v="84.632271172528405"/>
  </r>
  <r>
    <s v="Regular"/>
    <x v="1"/>
    <x v="2"/>
    <x v="5"/>
    <x v="2"/>
    <x v="0"/>
    <x v="0"/>
    <x v="2"/>
    <x v="0"/>
    <n v="0"/>
    <n v="0"/>
    <n v="2353.8519999999999"/>
    <n v="2353.8519999999999"/>
    <n v="2353.8519999999999"/>
    <n v="2353.8519999999999"/>
    <n v="11922"/>
    <x v="0"/>
    <n v="0"/>
    <n v="0"/>
    <n v="34"/>
    <n v="83"/>
    <n v="0"/>
    <n v="501.48"/>
    <n v="150.26"/>
    <m/>
    <n v="590.21277757372172"/>
    <n v="136.62265710865657"/>
    <n v="0"/>
    <n v="1180409.70096"/>
    <n v="353689.80151999998"/>
    <n v="0"/>
    <n v="1389273.5269174599"/>
    <n v="321589.51468052546"/>
  </r>
  <r>
    <s v="Refaturamento - Regular"/>
    <x v="1"/>
    <x v="2"/>
    <x v="5"/>
    <x v="2"/>
    <x v="0"/>
    <x v="0"/>
    <x v="2"/>
    <x v="0"/>
    <n v="0"/>
    <n v="0"/>
    <n v="-3.2450000000000001"/>
    <n v="-3.2450000000000001"/>
    <n v="-3.2450000000000001"/>
    <n v="-3.2450000000000001"/>
    <n v="0"/>
    <x v="0"/>
    <n v="0"/>
    <n v="0"/>
    <n v="34"/>
    <n v="83"/>
    <n v="0"/>
    <n v="501.48"/>
    <n v="150.26"/>
    <m/>
    <n v="590.21277757372172"/>
    <n v="136.62265710865657"/>
    <n v="0"/>
    <n v="-1627.3026000000002"/>
    <n v="-487.59370000000001"/>
    <n v="0"/>
    <n v="-1915.2404632267271"/>
    <n v="-443.34052231759057"/>
  </r>
  <r>
    <s v="Sistema de Compensação"/>
    <x v="1"/>
    <x v="2"/>
    <x v="5"/>
    <x v="2"/>
    <x v="0"/>
    <x v="0"/>
    <x v="2"/>
    <x v="0"/>
    <n v="0"/>
    <n v="0"/>
    <n v="6.4290000000000003"/>
    <n v="6.4290000000000003"/>
    <n v="6.4290000000000003"/>
    <n v="6.4290000000000003"/>
    <n v="52"/>
    <x v="0"/>
    <n v="0"/>
    <n v="0"/>
    <n v="34"/>
    <n v="83"/>
    <n v="0"/>
    <n v="501.48"/>
    <n v="150.26"/>
    <m/>
    <n v="590.21277757372172"/>
    <n v="136.62265710865657"/>
    <n v="0"/>
    <n v="3224.0149200000001"/>
    <n v="966.02153999999996"/>
    <n v="0"/>
    <n v="3794.4779470214571"/>
    <n v="878.34706255155311"/>
  </r>
  <r>
    <s v="Regular"/>
    <x v="1"/>
    <x v="2"/>
    <x v="5"/>
    <x v="2"/>
    <x v="0"/>
    <x v="0"/>
    <x v="2"/>
    <x v="1"/>
    <n v="0"/>
    <n v="0"/>
    <n v="2341.1759999999999"/>
    <n v="2341.1759999999999"/>
    <n v="2341.1759999999999"/>
    <n v="2341.1759999999999"/>
    <n v="11957"/>
    <x v="0"/>
    <n v="0"/>
    <n v="0"/>
    <n v="34"/>
    <n v="83"/>
    <n v="0"/>
    <n v="501.48"/>
    <n v="150.26"/>
    <m/>
    <n v="590.21277757372172"/>
    <n v="136.62265710865657"/>
    <n v="0"/>
    <n v="1174052.9404800001"/>
    <n v="351785.10575999995"/>
    <n v="0"/>
    <n v="1381791.9897489354"/>
    <n v="319857.68587901612"/>
  </r>
  <r>
    <s v="Refaturamento - Regular"/>
    <x v="1"/>
    <x v="2"/>
    <x v="5"/>
    <x v="2"/>
    <x v="0"/>
    <x v="0"/>
    <x v="2"/>
    <x v="1"/>
    <n v="0"/>
    <n v="0"/>
    <n v="-18.765000000000001"/>
    <n v="-18.765000000000001"/>
    <n v="-18.765000000000001"/>
    <n v="-18.765000000000001"/>
    <n v="0"/>
    <x v="0"/>
    <n v="0"/>
    <n v="0"/>
    <n v="34"/>
    <n v="83"/>
    <n v="0"/>
    <n v="501.48"/>
    <n v="150.26"/>
    <m/>
    <n v="590.21277757372172"/>
    <n v="136.62265710865657"/>
    <n v="0"/>
    <n v="-9410.2722000000012"/>
    <n v="-2819.6288999999997"/>
    <n v="0"/>
    <n v="-11075.342771170888"/>
    <n v="-2563.7241606439406"/>
  </r>
  <r>
    <s v="Sistema de Compensação"/>
    <x v="1"/>
    <x v="2"/>
    <x v="5"/>
    <x v="2"/>
    <x v="0"/>
    <x v="0"/>
    <x v="2"/>
    <x v="1"/>
    <n v="0"/>
    <n v="0"/>
    <n v="6.1310000000000002"/>
    <n v="6.1310000000000002"/>
    <n v="6.1310000000000002"/>
    <n v="6.1310000000000002"/>
    <n v="58"/>
    <x v="0"/>
    <n v="0"/>
    <n v="0"/>
    <n v="34"/>
    <n v="83"/>
    <n v="0"/>
    <n v="501.48"/>
    <n v="150.26"/>
    <m/>
    <n v="590.21277757372172"/>
    <n v="136.62265710865657"/>
    <n v="0"/>
    <n v="3074.5738800000004"/>
    <n v="921.24405999999999"/>
    <n v="0"/>
    <n v="3618.5945393044881"/>
    <n v="837.63351073317347"/>
  </r>
  <r>
    <s v="Regular"/>
    <x v="1"/>
    <x v="2"/>
    <x v="5"/>
    <x v="2"/>
    <x v="0"/>
    <x v="0"/>
    <x v="2"/>
    <x v="2"/>
    <n v="0"/>
    <n v="0"/>
    <n v="2298.2170000000001"/>
    <n v="2298.2170000000001"/>
    <n v="2298.2170000000001"/>
    <n v="2298.2170000000001"/>
    <n v="11966"/>
    <x v="0"/>
    <n v="0"/>
    <n v="0"/>
    <n v="34"/>
    <n v="83"/>
    <n v="0"/>
    <n v="501.48"/>
    <n v="150.26"/>
    <m/>
    <n v="590.21277757372172"/>
    <n v="136.62265710865657"/>
    <n v="0"/>
    <n v="1152509.8611600001"/>
    <n v="345330.08642000001"/>
    <n v="0"/>
    <n v="1356437.0390371461"/>
    <n v="313988.51315228536"/>
  </r>
  <r>
    <s v="Refaturamento - Regular"/>
    <x v="1"/>
    <x v="2"/>
    <x v="5"/>
    <x v="2"/>
    <x v="0"/>
    <x v="0"/>
    <x v="2"/>
    <x v="2"/>
    <n v="0"/>
    <n v="0"/>
    <n v="-10.891"/>
    <n v="-10.891"/>
    <n v="-10.891"/>
    <n v="-10.891"/>
    <n v="0"/>
    <x v="0"/>
    <n v="0"/>
    <n v="0"/>
    <n v="34"/>
    <n v="83"/>
    <n v="0"/>
    <n v="501.48"/>
    <n v="150.26"/>
    <m/>
    <n v="590.21277757372172"/>
    <n v="136.62265710865657"/>
    <n v="0"/>
    <n v="-5461.6186800000005"/>
    <n v="-1636.4816599999999"/>
    <n v="0"/>
    <n v="-6428.0073605554035"/>
    <n v="-1487.9573585703788"/>
  </r>
  <r>
    <s v="Sistema de Compensação"/>
    <x v="1"/>
    <x v="2"/>
    <x v="5"/>
    <x v="2"/>
    <x v="0"/>
    <x v="0"/>
    <x v="2"/>
    <x v="2"/>
    <n v="0"/>
    <n v="0"/>
    <n v="5.09"/>
    <n v="5.09"/>
    <n v="5.09"/>
    <n v="5.09"/>
    <n v="63"/>
    <x v="0"/>
    <n v="0"/>
    <n v="0"/>
    <n v="34"/>
    <n v="83"/>
    <n v="0"/>
    <n v="501.48"/>
    <n v="150.26"/>
    <m/>
    <n v="590.21277757372172"/>
    <n v="136.62265710865657"/>
    <n v="0"/>
    <n v="2552.5331999999999"/>
    <n v="764.82339999999988"/>
    <n v="0"/>
    <n v="3004.1830378502436"/>
    <n v="695.40932468306187"/>
  </r>
  <r>
    <s v="Regular"/>
    <x v="1"/>
    <x v="2"/>
    <x v="5"/>
    <x v="2"/>
    <x v="0"/>
    <x v="0"/>
    <x v="2"/>
    <x v="3"/>
    <n v="0"/>
    <n v="0"/>
    <n v="2454.1689999999999"/>
    <n v="2454.1689999999999"/>
    <n v="2454.1689999999999"/>
    <n v="2454.1689999999999"/>
    <n v="11985"/>
    <x v="0"/>
    <n v="0"/>
    <n v="0"/>
    <n v="34"/>
    <n v="83"/>
    <n v="0"/>
    <n v="501.48"/>
    <n v="150.26"/>
    <m/>
    <n v="590.21277757372172"/>
    <n v="136.62265710865657"/>
    <n v="0"/>
    <n v="1230716.6701199999"/>
    <n v="368763.43393999996"/>
    <n v="0"/>
    <n v="1448481.902125323"/>
    <n v="335295.08977369458"/>
  </r>
  <r>
    <s v="Refaturamento - Regular"/>
    <x v="1"/>
    <x v="2"/>
    <x v="5"/>
    <x v="2"/>
    <x v="0"/>
    <x v="0"/>
    <x v="2"/>
    <x v="3"/>
    <n v="0"/>
    <n v="0"/>
    <n v="-5.4290000000000003"/>
    <n v="-5.4290000000000003"/>
    <n v="-5.4290000000000003"/>
    <n v="-5.4290000000000003"/>
    <n v="0"/>
    <x v="0"/>
    <n v="0"/>
    <n v="0"/>
    <n v="34"/>
    <n v="83"/>
    <n v="0"/>
    <n v="501.48"/>
    <n v="150.26"/>
    <m/>
    <n v="590.21277757372172"/>
    <n v="136.62265710865657"/>
    <n v="0"/>
    <n v="-2722.5349200000001"/>
    <n v="-815.76153999999997"/>
    <n v="0"/>
    <n v="-3204.2651694477354"/>
    <n v="-741.72440544289657"/>
  </r>
  <r>
    <s v="Sistema de Compensação"/>
    <x v="1"/>
    <x v="2"/>
    <x v="5"/>
    <x v="2"/>
    <x v="0"/>
    <x v="0"/>
    <x v="2"/>
    <x v="3"/>
    <n v="0"/>
    <n v="0"/>
    <n v="6.2380000000000004"/>
    <n v="6.2380000000000004"/>
    <n v="6.2380000000000004"/>
    <n v="6.2380000000000004"/>
    <n v="65"/>
    <x v="0"/>
    <n v="0"/>
    <n v="0"/>
    <n v="34"/>
    <n v="83"/>
    <n v="0"/>
    <n v="501.48"/>
    <n v="150.26"/>
    <m/>
    <n v="590.21277757372172"/>
    <n v="136.62265710865657"/>
    <n v="0"/>
    <n v="3128.2322400000003"/>
    <n v="937.32187999999996"/>
    <n v="0"/>
    <n v="3681.7473065048762"/>
    <n v="852.25213504379974"/>
  </r>
  <r>
    <s v="Regular"/>
    <x v="1"/>
    <x v="2"/>
    <x v="5"/>
    <x v="2"/>
    <x v="0"/>
    <x v="0"/>
    <x v="2"/>
    <x v="4"/>
    <n v="0"/>
    <n v="0"/>
    <n v="2980.8110000000001"/>
    <n v="2980.8110000000001"/>
    <n v="2980.8110000000001"/>
    <n v="2980.8110000000001"/>
    <n v="11989"/>
    <x v="0"/>
    <n v="0"/>
    <n v="0"/>
    <n v="34"/>
    <n v="83"/>
    <n v="0"/>
    <n v="501.48"/>
    <n v="150.26"/>
    <m/>
    <n v="590.21277757372172"/>
    <n v="136.62265710865657"/>
    <n v="0"/>
    <n v="1494817.1002800001"/>
    <n v="447896.66086"/>
    <n v="0"/>
    <n v="1759312.7397323032"/>
    <n v="407246.3191587117"/>
  </r>
  <r>
    <s v="Refaturamento - Regular"/>
    <x v="1"/>
    <x v="2"/>
    <x v="5"/>
    <x v="2"/>
    <x v="0"/>
    <x v="0"/>
    <x v="2"/>
    <x v="4"/>
    <n v="0"/>
    <n v="0"/>
    <n v="-3.6970000000000001"/>
    <n v="-3.6970000000000001"/>
    <n v="-3.6970000000000001"/>
    <n v="-3.6970000000000001"/>
    <n v="0"/>
    <x v="0"/>
    <n v="0"/>
    <n v="0"/>
    <n v="34"/>
    <n v="83"/>
    <n v="0"/>
    <n v="501.48"/>
    <n v="150.26"/>
    <m/>
    <n v="590.21277757372172"/>
    <n v="136.62265710865657"/>
    <n v="0"/>
    <n v="-1853.9715600000002"/>
    <n v="-555.51121999999998"/>
    <n v="0"/>
    <n v="-2182.0166386900491"/>
    <n v="-505.09396333070333"/>
  </r>
  <r>
    <s v="Sistema de Compensação"/>
    <x v="1"/>
    <x v="2"/>
    <x v="5"/>
    <x v="2"/>
    <x v="0"/>
    <x v="0"/>
    <x v="2"/>
    <x v="4"/>
    <n v="0"/>
    <n v="0"/>
    <n v="6.7140000000000004"/>
    <n v="6.7140000000000004"/>
    <n v="6.7140000000000004"/>
    <n v="6.7140000000000004"/>
    <n v="70"/>
    <x v="0"/>
    <n v="0"/>
    <n v="0"/>
    <n v="34"/>
    <n v="83"/>
    <n v="0"/>
    <n v="501.48"/>
    <n v="150.26"/>
    <m/>
    <n v="590.21277757372172"/>
    <n v="136.62265710865657"/>
    <n v="0"/>
    <n v="3366.9367200000002"/>
    <n v="1008.84564"/>
    <n v="0"/>
    <n v="3962.6885886299679"/>
    <n v="917.28451982752028"/>
  </r>
  <r>
    <s v="Regular"/>
    <x v="1"/>
    <x v="2"/>
    <x v="5"/>
    <x v="2"/>
    <x v="0"/>
    <x v="0"/>
    <x v="2"/>
    <x v="5"/>
    <n v="0"/>
    <n v="0"/>
    <n v="3002.5219999999999"/>
    <n v="3002.5219999999999"/>
    <n v="3002.5219999999999"/>
    <n v="3002.5219999999999"/>
    <n v="11991"/>
    <x v="0"/>
    <n v="0"/>
    <n v="0"/>
    <n v="34"/>
    <n v="83"/>
    <n v="0"/>
    <n v="501.48"/>
    <n v="150.26"/>
    <m/>
    <n v="590.21277757372172"/>
    <n v="136.62265710865657"/>
    <n v="0"/>
    <n v="1505704.7325599999"/>
    <n v="451158.95571999997"/>
    <n v="0"/>
    <n v="1772126.8493462061"/>
    <n v="410212.53366719774"/>
  </r>
  <r>
    <s v="Refaturamento - Regular"/>
    <x v="1"/>
    <x v="2"/>
    <x v="5"/>
    <x v="2"/>
    <x v="0"/>
    <x v="0"/>
    <x v="2"/>
    <x v="5"/>
    <n v="0"/>
    <n v="0"/>
    <n v="-2.105"/>
    <n v="-2.105"/>
    <n v="-2.105"/>
    <n v="-2.105"/>
    <n v="0"/>
    <x v="0"/>
    <n v="0"/>
    <n v="0"/>
    <n v="34"/>
    <n v="83"/>
    <n v="0"/>
    <n v="501.48"/>
    <n v="150.26"/>
    <m/>
    <n v="590.21277757372172"/>
    <n v="136.62265710865657"/>
    <n v="0"/>
    <n v="-1055.6154000000001"/>
    <n v="-316.29729999999995"/>
    <n v="0"/>
    <n v="-1242.3978967926842"/>
    <n v="-287.59069321372209"/>
  </r>
  <r>
    <s v="Sistema de Compensação"/>
    <x v="1"/>
    <x v="2"/>
    <x v="5"/>
    <x v="2"/>
    <x v="0"/>
    <x v="0"/>
    <x v="2"/>
    <x v="5"/>
    <n v="0"/>
    <n v="0"/>
    <n v="11.693"/>
    <n v="11.693"/>
    <n v="11.693"/>
    <n v="11.693"/>
    <n v="82"/>
    <x v="0"/>
    <n v="0"/>
    <n v="0"/>
    <n v="34"/>
    <n v="83"/>
    <n v="0"/>
    <n v="501.48"/>
    <n v="150.26"/>
    <m/>
    <n v="590.21277757372172"/>
    <n v="136.62265710865657"/>
    <n v="0"/>
    <n v="5863.8056399999996"/>
    <n v="1756.9901799999998"/>
    <n v="0"/>
    <n v="6901.3580081695281"/>
    <n v="1597.5287295715211"/>
  </r>
  <r>
    <s v="Regular"/>
    <x v="1"/>
    <x v="2"/>
    <x v="5"/>
    <x v="2"/>
    <x v="0"/>
    <x v="0"/>
    <x v="2"/>
    <x v="6"/>
    <n v="0"/>
    <n v="0"/>
    <n v="2763.9760000000001"/>
    <n v="2763.9760000000001"/>
    <n v="2763.9760000000001"/>
    <n v="2763.9760000000001"/>
    <n v="11984"/>
    <x v="0"/>
    <n v="0"/>
    <n v="0"/>
    <n v="34"/>
    <n v="83"/>
    <n v="0"/>
    <n v="501.48"/>
    <n v="150.26"/>
    <m/>
    <n v="590.21277757372172"/>
    <n v="136.62265710865657"/>
    <n v="0"/>
    <n v="1386078.6844800001"/>
    <n v="415315.03376000002"/>
    <n v="0"/>
    <n v="1631333.9521071052"/>
    <n v="377621.74530455616"/>
  </r>
  <r>
    <s v="Refaturamento - Regular"/>
    <x v="1"/>
    <x v="2"/>
    <x v="5"/>
    <x v="2"/>
    <x v="0"/>
    <x v="0"/>
    <x v="2"/>
    <x v="6"/>
    <n v="0"/>
    <n v="0"/>
    <n v="-4.5149999999999997"/>
    <n v="-4.5149999999999997"/>
    <n v="-4.5149999999999997"/>
    <n v="-4.5149999999999997"/>
    <n v="0"/>
    <x v="0"/>
    <n v="0"/>
    <n v="0"/>
    <n v="34"/>
    <n v="83"/>
    <n v="0"/>
    <n v="501.48"/>
    <n v="150.26"/>
    <m/>
    <n v="590.21277757372172"/>
    <n v="136.62265710865657"/>
    <n v="0"/>
    <n v="-2264.1821999999997"/>
    <n v="-678.42389999999989"/>
    <n v="0"/>
    <n v="-2664.8106907453534"/>
    <n v="-616.85129684558433"/>
  </r>
  <r>
    <s v="Sistema de Compensação"/>
    <x v="1"/>
    <x v="2"/>
    <x v="5"/>
    <x v="2"/>
    <x v="0"/>
    <x v="0"/>
    <x v="2"/>
    <x v="6"/>
    <n v="0"/>
    <n v="0"/>
    <n v="11.647"/>
    <n v="11.647"/>
    <n v="11.647"/>
    <n v="11.647"/>
    <n v="90"/>
    <x v="0"/>
    <n v="0"/>
    <n v="0"/>
    <n v="34"/>
    <n v="83"/>
    <n v="0"/>
    <n v="501.48"/>
    <n v="150.26"/>
    <m/>
    <n v="590.21277757372172"/>
    <n v="136.62265710865657"/>
    <n v="0"/>
    <n v="5840.7375600000005"/>
    <n v="1750.0782199999999"/>
    <n v="0"/>
    <n v="6874.2082204011367"/>
    <n v="1591.244087344523"/>
  </r>
  <r>
    <s v="Regular"/>
    <x v="1"/>
    <x v="2"/>
    <x v="5"/>
    <x v="2"/>
    <x v="0"/>
    <x v="0"/>
    <x v="2"/>
    <x v="7"/>
    <n v="0"/>
    <n v="0"/>
    <n v="2415.0230000000001"/>
    <n v="2415.0230000000001"/>
    <n v="2415.0230000000001"/>
    <n v="2415.0230000000001"/>
    <n v="12000"/>
    <x v="0"/>
    <n v="0"/>
    <n v="0"/>
    <n v="34"/>
    <n v="83"/>
    <n v="0"/>
    <n v="501.48"/>
    <n v="150.26"/>
    <m/>
    <n v="590.21277757372172"/>
    <n v="136.62265710865657"/>
    <n v="0"/>
    <n v="1211085.73404"/>
    <n v="362881.35597999999"/>
    <n v="0"/>
    <n v="1425377.4327344222"/>
    <n v="329946.85923851916"/>
  </r>
  <r>
    <s v="Refaturamento - Regular"/>
    <x v="1"/>
    <x v="2"/>
    <x v="5"/>
    <x v="2"/>
    <x v="0"/>
    <x v="0"/>
    <x v="2"/>
    <x v="7"/>
    <n v="0"/>
    <n v="0"/>
    <n v="-2.2850000000000001"/>
    <n v="-2.2850000000000001"/>
    <n v="-2.2850000000000001"/>
    <n v="-2.2850000000000001"/>
    <n v="0"/>
    <x v="0"/>
    <n v="0"/>
    <n v="0"/>
    <n v="34"/>
    <n v="83"/>
    <n v="0"/>
    <n v="501.48"/>
    <n v="150.26"/>
    <m/>
    <n v="590.21277757372172"/>
    <n v="136.62265710865657"/>
    <n v="0"/>
    <n v="-1145.8818000000001"/>
    <n v="-343.34410000000003"/>
    <n v="0"/>
    <n v="-1348.6361967559542"/>
    <n v="-312.18277149328026"/>
  </r>
  <r>
    <s v="Sistema de Compensação"/>
    <x v="1"/>
    <x v="2"/>
    <x v="5"/>
    <x v="2"/>
    <x v="0"/>
    <x v="0"/>
    <x v="2"/>
    <x v="7"/>
    <n v="0"/>
    <n v="0"/>
    <n v="11.023"/>
    <n v="11.023"/>
    <n v="11.023"/>
    <n v="11.023"/>
    <n v="97"/>
    <x v="0"/>
    <n v="0"/>
    <n v="0"/>
    <n v="34"/>
    <n v="83"/>
    <n v="0"/>
    <n v="501.48"/>
    <n v="150.26"/>
    <m/>
    <n v="590.21277757372172"/>
    <n v="136.62265710865657"/>
    <n v="0"/>
    <n v="5527.8140400000002"/>
    <n v="1656.3159799999999"/>
    <n v="0"/>
    <n v="6505.9154471951342"/>
    <n v="1505.9915493087212"/>
  </r>
  <r>
    <s v="Regular"/>
    <x v="1"/>
    <x v="2"/>
    <x v="5"/>
    <x v="2"/>
    <x v="0"/>
    <x v="0"/>
    <x v="2"/>
    <x v="8"/>
    <n v="0"/>
    <n v="0"/>
    <n v="2203.4090000000001"/>
    <n v="2203.4090000000001"/>
    <n v="2203.4090000000001"/>
    <n v="2203.4090000000001"/>
    <n v="11959"/>
    <x v="0"/>
    <n v="0"/>
    <n v="0"/>
    <n v="34"/>
    <n v="83"/>
    <n v="0"/>
    <n v="501.48"/>
    <n v="150.26"/>
    <m/>
    <n v="590.21277757372172"/>
    <n v="136.62265710865657"/>
    <n v="0"/>
    <n v="1104965.54532"/>
    <n v="331084.23634"/>
    <n v="0"/>
    <n v="1300480.1460209368"/>
    <n v="301035.5922771279"/>
  </r>
  <r>
    <s v="Refaturamento - Regular"/>
    <x v="1"/>
    <x v="2"/>
    <x v="5"/>
    <x v="2"/>
    <x v="0"/>
    <x v="0"/>
    <x v="2"/>
    <x v="8"/>
    <n v="0"/>
    <n v="0"/>
    <n v="-3.4849999999999999"/>
    <n v="-3.4849999999999999"/>
    <n v="-3.4849999999999999"/>
    <n v="-3.4849999999999999"/>
    <n v="0"/>
    <x v="0"/>
    <n v="0"/>
    <n v="0"/>
    <n v="34"/>
    <n v="83"/>
    <n v="0"/>
    <n v="501.48"/>
    <n v="150.26"/>
    <m/>
    <n v="590.21277757372172"/>
    <n v="136.62265710865657"/>
    <n v="0"/>
    <n v="-1747.6578"/>
    <n v="-523.65609999999992"/>
    <n v="0"/>
    <n v="-2056.8915298444203"/>
    <n v="-476.1299600236681"/>
  </r>
  <r>
    <s v="Sistema de Compensação"/>
    <x v="1"/>
    <x v="2"/>
    <x v="5"/>
    <x v="2"/>
    <x v="0"/>
    <x v="0"/>
    <x v="2"/>
    <x v="8"/>
    <n v="0"/>
    <n v="0"/>
    <n v="13.932"/>
    <n v="13.932"/>
    <n v="13.932"/>
    <n v="13.932"/>
    <n v="112"/>
    <x v="0"/>
    <n v="0"/>
    <n v="0"/>
    <n v="34"/>
    <n v="83"/>
    <n v="0"/>
    <n v="501.48"/>
    <n v="150.26"/>
    <m/>
    <n v="590.21277757372172"/>
    <n v="136.62265710865657"/>
    <n v="0"/>
    <n v="6986.6193600000006"/>
    <n v="2093.4223200000001"/>
    <n v="0"/>
    <n v="8222.8444171570918"/>
    <n v="1903.4268588378034"/>
  </r>
  <r>
    <s v="Regular"/>
    <x v="1"/>
    <x v="2"/>
    <x v="5"/>
    <x v="2"/>
    <x v="0"/>
    <x v="0"/>
    <x v="2"/>
    <x v="9"/>
    <n v="0"/>
    <n v="0"/>
    <n v="2484.355"/>
    <n v="2484.355"/>
    <n v="2484.355"/>
    <n v="2484.355"/>
    <n v="12065"/>
    <x v="0"/>
    <n v="0"/>
    <n v="0"/>
    <n v="34"/>
    <n v="83"/>
    <n v="0"/>
    <n v="501.48"/>
    <n v="150.26"/>
    <m/>
    <n v="590.21277757372172"/>
    <n v="136.62265710865657"/>
    <n v="0"/>
    <n v="1245854.3454"/>
    <n v="373299.18229999999"/>
    <n v="0"/>
    <n v="1466298.0650291634"/>
    <n v="339419.18130117649"/>
  </r>
  <r>
    <s v="Refaturamento - Regular"/>
    <x v="1"/>
    <x v="2"/>
    <x v="5"/>
    <x v="2"/>
    <x v="0"/>
    <x v="0"/>
    <x v="2"/>
    <x v="9"/>
    <n v="0"/>
    <n v="0"/>
    <n v="-1.319"/>
    <n v="-1.319"/>
    <n v="-1.319"/>
    <n v="-1.319"/>
    <n v="0"/>
    <x v="0"/>
    <n v="0"/>
    <n v="0"/>
    <n v="34"/>
    <n v="83"/>
    <n v="0"/>
    <n v="501.48"/>
    <n v="150.26"/>
    <m/>
    <n v="590.21277757372172"/>
    <n v="136.62265710865657"/>
    <n v="0"/>
    <n v="-661.45212000000004"/>
    <n v="-198.19293999999999"/>
    <n v="0"/>
    <n v="-778.49065361973896"/>
    <n v="-180.20528472631801"/>
  </r>
  <r>
    <s v="Sistema de Compensação"/>
    <x v="1"/>
    <x v="2"/>
    <x v="5"/>
    <x v="2"/>
    <x v="0"/>
    <x v="0"/>
    <x v="2"/>
    <x v="9"/>
    <n v="0"/>
    <n v="0"/>
    <n v="22.15"/>
    <n v="22.15"/>
    <n v="22.15"/>
    <n v="22.15"/>
    <n v="116"/>
    <x v="0"/>
    <n v="0"/>
    <n v="0"/>
    <n v="34"/>
    <n v="83"/>
    <n v="0"/>
    <n v="501.48"/>
    <n v="150.26"/>
    <m/>
    <n v="590.21277757372172"/>
    <n v="136.62265710865657"/>
    <n v="0"/>
    <n v="11107.781999999999"/>
    <n v="3328.2589999999996"/>
    <n v="0"/>
    <n v="13073.213023257935"/>
    <n v="3026.1918549567426"/>
  </r>
  <r>
    <s v="Regular"/>
    <x v="1"/>
    <x v="2"/>
    <x v="5"/>
    <x v="2"/>
    <x v="0"/>
    <x v="0"/>
    <x v="2"/>
    <x v="10"/>
    <n v="0"/>
    <n v="0"/>
    <n v="2394.3290000000002"/>
    <n v="2394.3290000000002"/>
    <n v="2394.3290000000002"/>
    <n v="2394.3290000000002"/>
    <n v="12091"/>
    <x v="0"/>
    <n v="0"/>
    <n v="0"/>
    <n v="34"/>
    <n v="83"/>
    <n v="0"/>
    <n v="501.48"/>
    <n v="150.26"/>
    <m/>
    <n v="590.21277757372172"/>
    <n v="136.62265710865657"/>
    <n v="0"/>
    <n v="1200708.1069200002"/>
    <n v="359771.87553999998"/>
    <n v="0"/>
    <n v="1413163.5695153116"/>
    <n v="327119.58997231262"/>
  </r>
  <r>
    <s v="Refaturamento - Regular"/>
    <x v="1"/>
    <x v="2"/>
    <x v="5"/>
    <x v="2"/>
    <x v="0"/>
    <x v="0"/>
    <x v="2"/>
    <x v="10"/>
    <n v="0"/>
    <n v="0"/>
    <n v="-2.63"/>
    <n v="-2.63"/>
    <n v="-2.63"/>
    <n v="-2.63"/>
    <n v="0"/>
    <x v="0"/>
    <n v="0"/>
    <n v="0"/>
    <n v="34"/>
    <n v="83"/>
    <n v="0"/>
    <n v="501.48"/>
    <n v="150.26"/>
    <m/>
    <n v="590.21277757372172"/>
    <n v="136.62265710865657"/>
    <n v="0"/>
    <n v="-1318.8924"/>
    <n v="-395.18379999999996"/>
    <n v="0"/>
    <n v="-1552.2596050188881"/>
    <n v="-359.31758819576675"/>
  </r>
  <r>
    <s v="Sistema de Compensação"/>
    <x v="1"/>
    <x v="2"/>
    <x v="5"/>
    <x v="2"/>
    <x v="0"/>
    <x v="0"/>
    <x v="2"/>
    <x v="10"/>
    <n v="0"/>
    <n v="0"/>
    <n v="23.007999999999999"/>
    <n v="23.007999999999999"/>
    <n v="23.007999999999999"/>
    <n v="23.007999999999999"/>
    <n v="128"/>
    <x v="0"/>
    <n v="0"/>
    <n v="0"/>
    <n v="34"/>
    <n v="83"/>
    <n v="0"/>
    <n v="501.48"/>
    <n v="150.26"/>
    <m/>
    <n v="590.21277757372172"/>
    <n v="136.62265710865657"/>
    <n v="0"/>
    <n v="11538.05184"/>
    <n v="3457.1820799999996"/>
    <n v="0"/>
    <n v="13579.615586416188"/>
    <n v="3143.4140947559704"/>
  </r>
  <r>
    <s v="PROJETADO"/>
    <x v="1"/>
    <x v="2"/>
    <x v="5"/>
    <x v="2"/>
    <x v="0"/>
    <x v="0"/>
    <x v="2"/>
    <x v="11"/>
    <n v="0"/>
    <n v="0"/>
    <n v="2394.3290000000002"/>
    <n v="2394.3290000000002"/>
    <n v="2394.3290000000002"/>
    <n v="2394.3290000000002"/>
    <n v="12091"/>
    <x v="0"/>
    <n v="0"/>
    <n v="0"/>
    <n v="34"/>
    <n v="83"/>
    <n v="0"/>
    <n v="501.48"/>
    <n v="150.26"/>
    <m/>
    <n v="590.21277757372172"/>
    <n v="136.62265710865657"/>
    <n v="0"/>
    <n v="1200708.1069200002"/>
    <n v="359771.87553999998"/>
    <n v="0"/>
    <n v="1413163.5695153116"/>
    <n v="327119.58997231262"/>
  </r>
  <r>
    <s v="PROJETADO"/>
    <x v="1"/>
    <x v="2"/>
    <x v="5"/>
    <x v="2"/>
    <x v="0"/>
    <x v="0"/>
    <x v="2"/>
    <x v="11"/>
    <n v="0"/>
    <n v="0"/>
    <n v="-2.63"/>
    <n v="-2.63"/>
    <n v="-2.63"/>
    <n v="-2.63"/>
    <n v="0"/>
    <x v="0"/>
    <n v="0"/>
    <n v="0"/>
    <n v="34"/>
    <n v="83"/>
    <n v="0"/>
    <n v="501.48"/>
    <n v="150.26"/>
    <m/>
    <n v="590.21277757372172"/>
    <n v="136.62265710865657"/>
    <n v="0"/>
    <n v="-1318.8924"/>
    <n v="-395.18379999999996"/>
    <n v="0"/>
    <n v="-1552.2596050188881"/>
    <n v="-359.31758819576675"/>
  </r>
  <r>
    <s v="PROJETADO"/>
    <x v="1"/>
    <x v="2"/>
    <x v="5"/>
    <x v="2"/>
    <x v="0"/>
    <x v="0"/>
    <x v="2"/>
    <x v="11"/>
    <n v="0"/>
    <n v="0"/>
    <n v="23.007999999999999"/>
    <n v="23.007999999999999"/>
    <n v="23.007999999999999"/>
    <n v="23.007999999999999"/>
    <n v="128"/>
    <x v="0"/>
    <n v="0"/>
    <n v="0"/>
    <n v="34"/>
    <n v="83"/>
    <n v="0"/>
    <n v="501.48"/>
    <n v="150.26"/>
    <m/>
    <n v="590.21277757372172"/>
    <n v="136.62265710865657"/>
    <n v="0"/>
    <n v="11538.05184"/>
    <n v="3457.1820799999996"/>
    <n v="0"/>
    <n v="13579.615586416188"/>
    <n v="3143.4140947559704"/>
  </r>
  <r>
    <s v="Regular"/>
    <x v="1"/>
    <x v="2"/>
    <x v="5"/>
    <x v="3"/>
    <x v="0"/>
    <x v="0"/>
    <x v="2"/>
    <x v="0"/>
    <n v="0"/>
    <n v="0"/>
    <n v="15.03"/>
    <n v="15.03"/>
    <n v="15.03"/>
    <n v="15.03"/>
    <n v="14"/>
    <x v="0"/>
    <n v="0"/>
    <n v="0"/>
    <n v="77"/>
    <n v="84"/>
    <n v="0"/>
    <n v="154.44999999999999"/>
    <n v="52.59"/>
    <m/>
    <n v="170.82207157873242"/>
    <n v="47.817929988029796"/>
    <n v="0"/>
    <n v="2321.3834999999999"/>
    <n v="790.42770000000007"/>
    <n v="0"/>
    <n v="2567.4557358283482"/>
    <n v="718.70348772008776"/>
  </r>
  <r>
    <s v="Regular"/>
    <x v="1"/>
    <x v="2"/>
    <x v="5"/>
    <x v="3"/>
    <x v="0"/>
    <x v="0"/>
    <x v="2"/>
    <x v="1"/>
    <n v="0"/>
    <n v="0"/>
    <n v="15.36"/>
    <n v="15.36"/>
    <n v="15.36"/>
    <n v="15.36"/>
    <n v="13"/>
    <x v="0"/>
    <n v="0"/>
    <n v="0"/>
    <n v="77"/>
    <n v="84"/>
    <n v="0"/>
    <n v="154.44999999999999"/>
    <n v="52.59"/>
    <m/>
    <n v="170.82207157873242"/>
    <n v="47.817929988029796"/>
    <n v="0"/>
    <n v="2372.3519999999999"/>
    <n v="807.78240000000005"/>
    <n v="0"/>
    <n v="2623.8270194493298"/>
    <n v="734.48340461613759"/>
  </r>
  <r>
    <s v="Regular"/>
    <x v="1"/>
    <x v="2"/>
    <x v="5"/>
    <x v="3"/>
    <x v="0"/>
    <x v="0"/>
    <x v="2"/>
    <x v="2"/>
    <n v="0"/>
    <n v="0"/>
    <n v="15.48"/>
    <n v="15.48"/>
    <n v="15.48"/>
    <n v="15.48"/>
    <n v="9"/>
    <x v="0"/>
    <n v="0"/>
    <n v="0"/>
    <n v="77"/>
    <n v="84"/>
    <n v="0"/>
    <n v="154.44999999999999"/>
    <n v="52.59"/>
    <m/>
    <n v="170.82207157873242"/>
    <n v="47.817929988029796"/>
    <n v="0"/>
    <n v="2390.886"/>
    <n v="814.09320000000002"/>
    <n v="0"/>
    <n v="2644.3256680387781"/>
    <n v="740.22155621470131"/>
  </r>
  <r>
    <s v="Regular"/>
    <x v="1"/>
    <x v="2"/>
    <x v="5"/>
    <x v="3"/>
    <x v="0"/>
    <x v="0"/>
    <x v="2"/>
    <x v="3"/>
    <n v="0"/>
    <n v="0"/>
    <n v="15.587999999999999"/>
    <n v="15.587999999999999"/>
    <n v="15.587999999999999"/>
    <n v="15.587999999999999"/>
    <n v="8"/>
    <x v="0"/>
    <n v="0"/>
    <n v="0"/>
    <n v="77"/>
    <n v="84"/>
    <n v="0"/>
    <n v="154.44999999999999"/>
    <n v="52.59"/>
    <m/>
    <n v="170.82207157873242"/>
    <n v="47.817929988029796"/>
    <n v="0"/>
    <n v="2407.5665999999997"/>
    <n v="819.77292"/>
    <n v="0"/>
    <n v="2662.7744517692809"/>
    <n v="745.3858926534084"/>
  </r>
  <r>
    <s v="Regular"/>
    <x v="1"/>
    <x v="2"/>
    <x v="5"/>
    <x v="3"/>
    <x v="0"/>
    <x v="0"/>
    <x v="2"/>
    <x v="4"/>
    <n v="0"/>
    <n v="0"/>
    <n v="15.54"/>
    <n v="15.54"/>
    <n v="15.54"/>
    <n v="15.54"/>
    <n v="7"/>
    <x v="0"/>
    <n v="0"/>
    <n v="0"/>
    <n v="77"/>
    <n v="84"/>
    <n v="0"/>
    <n v="154.44999999999999"/>
    <n v="52.59"/>
    <m/>
    <n v="170.82207157873242"/>
    <n v="47.817929988029796"/>
    <n v="0"/>
    <n v="2400.1529999999998"/>
    <n v="817.24860000000001"/>
    <n v="0"/>
    <n v="2654.5749923335015"/>
    <n v="743.09063201398294"/>
  </r>
  <r>
    <s v="Regular"/>
    <x v="1"/>
    <x v="2"/>
    <x v="5"/>
    <x v="3"/>
    <x v="0"/>
    <x v="0"/>
    <x v="2"/>
    <x v="5"/>
    <n v="0"/>
    <n v="0"/>
    <n v="15.72"/>
    <n v="15.72"/>
    <n v="15.72"/>
    <n v="15.72"/>
    <n v="9"/>
    <x v="0"/>
    <n v="0"/>
    <n v="0"/>
    <n v="77"/>
    <n v="84"/>
    <n v="0"/>
    <n v="154.44999999999999"/>
    <n v="52.59"/>
    <m/>
    <n v="170.82207157873242"/>
    <n v="47.817929988029796"/>
    <n v="0"/>
    <n v="2427.9539999999997"/>
    <n v="826.71480000000008"/>
    <n v="0"/>
    <n v="2685.3229652176738"/>
    <n v="751.6978594118284"/>
  </r>
  <r>
    <s v="Regular"/>
    <x v="1"/>
    <x v="2"/>
    <x v="5"/>
    <x v="3"/>
    <x v="0"/>
    <x v="0"/>
    <x v="2"/>
    <x v="6"/>
    <n v="0"/>
    <n v="0"/>
    <n v="16.2"/>
    <n v="16.2"/>
    <n v="16.2"/>
    <n v="16.2"/>
    <n v="10"/>
    <x v="0"/>
    <n v="0"/>
    <n v="0"/>
    <n v="77"/>
    <n v="84"/>
    <n v="0"/>
    <n v="154.44999999999999"/>
    <n v="52.59"/>
    <m/>
    <n v="170.82207157873242"/>
    <n v="47.817929988029796"/>
    <n v="0"/>
    <n v="2502.0899999999997"/>
    <n v="851.95799999999997"/>
    <n v="0"/>
    <n v="2767.3175595754651"/>
    <n v="774.65046580608271"/>
  </r>
  <r>
    <s v="Regular"/>
    <x v="1"/>
    <x v="2"/>
    <x v="5"/>
    <x v="3"/>
    <x v="0"/>
    <x v="0"/>
    <x v="2"/>
    <x v="7"/>
    <n v="0"/>
    <n v="0"/>
    <n v="16.71"/>
    <n v="16.71"/>
    <n v="16.71"/>
    <n v="16.71"/>
    <n v="9"/>
    <x v="0"/>
    <n v="0"/>
    <n v="0"/>
    <n v="77"/>
    <n v="84"/>
    <n v="0"/>
    <n v="154.44999999999999"/>
    <n v="52.59"/>
    <m/>
    <n v="170.82207157873242"/>
    <n v="47.817929988029796"/>
    <n v="0"/>
    <n v="2580.8595"/>
    <n v="878.77890000000014"/>
    <n v="0"/>
    <n v="2854.4368160806189"/>
    <n v="799.03761009997788"/>
  </r>
  <r>
    <s v="Regular"/>
    <x v="1"/>
    <x v="2"/>
    <x v="5"/>
    <x v="3"/>
    <x v="0"/>
    <x v="0"/>
    <x v="2"/>
    <x v="8"/>
    <n v="0"/>
    <n v="0"/>
    <n v="18.239999999999998"/>
    <n v="18.239999999999998"/>
    <n v="18.239999999999998"/>
    <n v="18.239999999999998"/>
    <n v="12"/>
    <x v="0"/>
    <n v="0"/>
    <n v="0"/>
    <n v="77"/>
    <n v="84"/>
    <n v="0"/>
    <n v="154.44999999999999"/>
    <n v="52.59"/>
    <m/>
    <n v="170.82207157873242"/>
    <n v="47.817929988029796"/>
    <n v="0"/>
    <n v="2817.1679999999997"/>
    <n v="959.24159999999995"/>
    <n v="0"/>
    <n v="3115.7945855960793"/>
    <n v="872.19904298166341"/>
  </r>
  <r>
    <s v="Regular"/>
    <x v="1"/>
    <x v="2"/>
    <x v="5"/>
    <x v="3"/>
    <x v="0"/>
    <x v="0"/>
    <x v="2"/>
    <x v="9"/>
    <n v="0"/>
    <n v="0"/>
    <n v="15.78"/>
    <n v="15.78"/>
    <n v="15.78"/>
    <n v="15.78"/>
    <n v="7"/>
    <x v="0"/>
    <n v="0"/>
    <n v="0"/>
    <n v="77"/>
    <n v="84"/>
    <n v="0"/>
    <n v="154.44999999999999"/>
    <n v="52.59"/>
    <m/>
    <n v="170.82207157873242"/>
    <n v="47.817929988029796"/>
    <n v="0"/>
    <n v="2437.2209999999995"/>
    <n v="829.87020000000007"/>
    <n v="0"/>
    <n v="2695.5722895123977"/>
    <n v="754.56693521111015"/>
  </r>
  <r>
    <s v="Refaturamento - Regular"/>
    <x v="1"/>
    <x v="2"/>
    <x v="5"/>
    <x v="3"/>
    <x v="0"/>
    <x v="0"/>
    <x v="2"/>
    <x v="9"/>
    <n v="0"/>
    <n v="0"/>
    <n v="0.03"/>
    <n v="0.03"/>
    <n v="0.03"/>
    <n v="0.03"/>
    <n v="0"/>
    <x v="0"/>
    <n v="0"/>
    <n v="0"/>
    <n v="77"/>
    <n v="84"/>
    <n v="0"/>
    <n v="154.44999999999999"/>
    <n v="52.59"/>
    <m/>
    <n v="170.82207157873242"/>
    <n v="47.817929988029796"/>
    <n v="0"/>
    <n v="4.6334999999999997"/>
    <n v="1.5777000000000001"/>
    <n v="0"/>
    <n v="5.1246621473619722"/>
    <n v="1.4345378996408937"/>
  </r>
  <r>
    <s v="Regular"/>
    <x v="1"/>
    <x v="2"/>
    <x v="5"/>
    <x v="3"/>
    <x v="0"/>
    <x v="0"/>
    <x v="2"/>
    <x v="10"/>
    <n v="0"/>
    <n v="0"/>
    <n v="15.99"/>
    <n v="15.99"/>
    <n v="15.99"/>
    <n v="15.99"/>
    <n v="10"/>
    <x v="0"/>
    <n v="0"/>
    <n v="0"/>
    <n v="77"/>
    <n v="84"/>
    <n v="0"/>
    <n v="154.44999999999999"/>
    <n v="52.59"/>
    <m/>
    <n v="170.82207157873242"/>
    <n v="47.817929988029796"/>
    <n v="0"/>
    <n v="2469.6554999999998"/>
    <n v="840.91410000000008"/>
    <n v="0"/>
    <n v="2731.4449245439314"/>
    <n v="764.60870050859648"/>
  </r>
  <r>
    <s v="Refaturamento - Regular"/>
    <x v="1"/>
    <x v="2"/>
    <x v="5"/>
    <x v="3"/>
    <x v="0"/>
    <x v="0"/>
    <x v="2"/>
    <x v="10"/>
    <n v="0"/>
    <n v="0"/>
    <n v="0.06"/>
    <n v="0.06"/>
    <n v="0.06"/>
    <n v="0.06"/>
    <n v="0"/>
    <x v="0"/>
    <n v="0"/>
    <n v="0"/>
    <n v="77"/>
    <n v="84"/>
    <n v="0"/>
    <n v="154.44999999999999"/>
    <n v="52.59"/>
    <m/>
    <n v="170.82207157873242"/>
    <n v="47.817929988029796"/>
    <n v="0"/>
    <n v="9.2669999999999995"/>
    <n v="3.1554000000000002"/>
    <n v="0"/>
    <n v="10.249324294723944"/>
    <n v="2.8690757992817875"/>
  </r>
  <r>
    <s v="PROJETADO"/>
    <x v="1"/>
    <x v="2"/>
    <x v="5"/>
    <x v="3"/>
    <x v="0"/>
    <x v="0"/>
    <x v="2"/>
    <x v="11"/>
    <n v="0"/>
    <n v="0"/>
    <n v="15.99"/>
    <n v="15.99"/>
    <n v="15.99"/>
    <n v="15.99"/>
    <n v="10"/>
    <x v="0"/>
    <n v="0"/>
    <n v="0"/>
    <n v="77"/>
    <n v="84"/>
    <n v="0"/>
    <n v="154.44999999999999"/>
    <n v="52.59"/>
    <m/>
    <n v="170.82207157873242"/>
    <n v="47.817929988029796"/>
    <n v="0"/>
    <n v="2469.6554999999998"/>
    <n v="840.91410000000008"/>
    <n v="0"/>
    <n v="2731.4449245439314"/>
    <n v="764.60870050859648"/>
  </r>
  <r>
    <s v="PROJETADO"/>
    <x v="1"/>
    <x v="2"/>
    <x v="5"/>
    <x v="3"/>
    <x v="0"/>
    <x v="0"/>
    <x v="2"/>
    <x v="11"/>
    <n v="0"/>
    <n v="0"/>
    <n v="0.06"/>
    <n v="0.06"/>
    <n v="0.06"/>
    <n v="0.06"/>
    <n v="0"/>
    <x v="0"/>
    <n v="0"/>
    <n v="0"/>
    <n v="77"/>
    <n v="84"/>
    <n v="0"/>
    <n v="154.44999999999999"/>
    <n v="52.59"/>
    <m/>
    <n v="170.82207157873242"/>
    <n v="47.817929988029796"/>
    <n v="0"/>
    <n v="9.2669999999999995"/>
    <n v="3.1554000000000002"/>
    <n v="0"/>
    <n v="10.249324294723944"/>
    <n v="2.8690757992817875"/>
  </r>
  <r>
    <s v="Regular"/>
    <x v="1"/>
    <x v="2"/>
    <x v="5"/>
    <x v="4"/>
    <x v="0"/>
    <x v="0"/>
    <x v="2"/>
    <x v="0"/>
    <n v="0"/>
    <n v="0"/>
    <n v="32.567999999999998"/>
    <n v="32.567999999999998"/>
    <n v="32.567999999999998"/>
    <n v="32.567999999999998"/>
    <n v="64"/>
    <x v="0"/>
    <n v="0"/>
    <n v="0"/>
    <n v="39"/>
    <n v="85"/>
    <n v="0"/>
    <n v="264.77"/>
    <n v="90.16"/>
    <m/>
    <n v="292.83783699211273"/>
    <n v="81.973594265193938"/>
    <n v="0"/>
    <n v="8623.0293599999986"/>
    <n v="2936.3308799999995"/>
    <n v="0"/>
    <n v="9537.1426751591262"/>
    <n v="2669.7160180288361"/>
  </r>
  <r>
    <s v="Regular"/>
    <x v="1"/>
    <x v="2"/>
    <x v="5"/>
    <x v="4"/>
    <x v="0"/>
    <x v="0"/>
    <x v="2"/>
    <x v="1"/>
    <n v="0"/>
    <n v="0"/>
    <n v="33.476999999999997"/>
    <n v="33.476999999999997"/>
    <n v="33.476999999999997"/>
    <n v="33.476999999999997"/>
    <n v="58"/>
    <x v="0"/>
    <n v="0"/>
    <n v="0"/>
    <n v="39"/>
    <n v="85"/>
    <n v="0"/>
    <n v="264.77"/>
    <n v="90.16"/>
    <m/>
    <n v="292.83783699211273"/>
    <n v="81.973594265193938"/>
    <n v="0"/>
    <n v="8863.7052899999981"/>
    <n v="3018.2863199999997"/>
    <n v="0"/>
    <n v="9803.3322689849574"/>
    <n v="2744.2300152158973"/>
  </r>
  <r>
    <s v="Refaturamento - Regular"/>
    <x v="1"/>
    <x v="2"/>
    <x v="5"/>
    <x v="4"/>
    <x v="0"/>
    <x v="0"/>
    <x v="2"/>
    <x v="1"/>
    <n v="0"/>
    <n v="0"/>
    <n v="7.0000000000000007E-2"/>
    <n v="7.0000000000000007E-2"/>
    <n v="7.0000000000000007E-2"/>
    <n v="7.0000000000000007E-2"/>
    <n v="0"/>
    <x v="0"/>
    <n v="0"/>
    <n v="0"/>
    <n v="39"/>
    <n v="85"/>
    <n v="0"/>
    <n v="264.77"/>
    <n v="90.16"/>
    <m/>
    <n v="292.83783699211273"/>
    <n v="81.973594265193938"/>
    <n v="0"/>
    <n v="18.533899999999999"/>
    <n v="6.3112000000000004"/>
    <n v="0"/>
    <n v="20.498648589447892"/>
    <n v="5.7381515985635758"/>
  </r>
  <r>
    <s v="Regular"/>
    <x v="1"/>
    <x v="2"/>
    <x v="5"/>
    <x v="4"/>
    <x v="0"/>
    <x v="0"/>
    <x v="2"/>
    <x v="2"/>
    <n v="0"/>
    <n v="0"/>
    <n v="34.073"/>
    <n v="34.073"/>
    <n v="34.073"/>
    <n v="34.073"/>
    <n v="58"/>
    <x v="0"/>
    <n v="0"/>
    <n v="0"/>
    <n v="39"/>
    <n v="85"/>
    <n v="0"/>
    <n v="264.77"/>
    <n v="90.16"/>
    <m/>
    <n v="292.83783699211273"/>
    <n v="81.973594265193938"/>
    <n v="0"/>
    <n v="9021.50821"/>
    <n v="3072.0216799999998"/>
    <n v="0"/>
    <n v="9977.8636198322565"/>
    <n v="2793.0862773979529"/>
  </r>
  <r>
    <s v="Regular"/>
    <x v="1"/>
    <x v="2"/>
    <x v="5"/>
    <x v="4"/>
    <x v="0"/>
    <x v="0"/>
    <x v="2"/>
    <x v="3"/>
    <n v="0"/>
    <n v="0"/>
    <n v="34.677"/>
    <n v="34.677"/>
    <n v="34.677"/>
    <n v="34.677"/>
    <n v="50"/>
    <x v="0"/>
    <n v="0"/>
    <n v="0"/>
    <n v="39"/>
    <n v="85"/>
    <n v="0"/>
    <n v="264.77"/>
    <n v="90.16"/>
    <m/>
    <n v="292.83783699211273"/>
    <n v="81.973594265193938"/>
    <n v="0"/>
    <n v="9181.42929"/>
    <n v="3126.4783199999997"/>
    <n v="0"/>
    <n v="10154.737673375494"/>
    <n v="2842.5983283341302"/>
  </r>
  <r>
    <s v="Regular"/>
    <x v="1"/>
    <x v="2"/>
    <x v="5"/>
    <x v="4"/>
    <x v="0"/>
    <x v="0"/>
    <x v="2"/>
    <x v="4"/>
    <n v="0"/>
    <n v="0"/>
    <n v="35.03"/>
    <n v="35.03"/>
    <n v="35.03"/>
    <n v="35.03"/>
    <n v="38"/>
    <x v="0"/>
    <n v="0"/>
    <n v="0"/>
    <n v="39"/>
    <n v="85"/>
    <n v="0"/>
    <n v="264.77"/>
    <n v="90.16"/>
    <m/>
    <n v="292.83783699211273"/>
    <n v="81.973594265193938"/>
    <n v="0"/>
    <n v="9274.8930999999993"/>
    <n v="3158.3047999999999"/>
    <n v="0"/>
    <n v="10258.109429833708"/>
    <n v="2871.5350071097437"/>
  </r>
  <r>
    <s v="Regular"/>
    <x v="1"/>
    <x v="2"/>
    <x v="5"/>
    <x v="4"/>
    <x v="0"/>
    <x v="0"/>
    <x v="2"/>
    <x v="5"/>
    <n v="0"/>
    <n v="0"/>
    <n v="35.380000000000003"/>
    <n v="35.380000000000003"/>
    <n v="35.380000000000003"/>
    <n v="35.380000000000003"/>
    <n v="43"/>
    <x v="0"/>
    <n v="0"/>
    <n v="0"/>
    <n v="39"/>
    <n v="85"/>
    <n v="0"/>
    <n v="264.77"/>
    <n v="90.16"/>
    <m/>
    <n v="292.83783699211273"/>
    <n v="81.973594265193938"/>
    <n v="0"/>
    <n v="9367.5625999999993"/>
    <n v="3189.8607999999999"/>
    <n v="0"/>
    <n v="10360.602672780949"/>
    <n v="2900.2257651025616"/>
  </r>
  <r>
    <s v="Regular"/>
    <x v="1"/>
    <x v="2"/>
    <x v="5"/>
    <x v="4"/>
    <x v="0"/>
    <x v="0"/>
    <x v="2"/>
    <x v="6"/>
    <n v="0"/>
    <n v="0"/>
    <n v="36.347999999999999"/>
    <n v="36.347999999999999"/>
    <n v="36.347999999999999"/>
    <n v="36.347999999999999"/>
    <n v="43"/>
    <x v="0"/>
    <n v="0"/>
    <n v="0"/>
    <n v="39"/>
    <n v="85"/>
    <n v="0"/>
    <n v="264.77"/>
    <n v="90.16"/>
    <m/>
    <n v="292.83783699211273"/>
    <n v="81.973594265193938"/>
    <n v="0"/>
    <n v="9623.8599599999998"/>
    <n v="3277.1356799999999"/>
    <n v="0"/>
    <n v="10644.069698989313"/>
    <n v="2979.5762043512691"/>
  </r>
  <r>
    <s v="Refaturamento - Regular"/>
    <x v="1"/>
    <x v="2"/>
    <x v="5"/>
    <x v="4"/>
    <x v="0"/>
    <x v="0"/>
    <x v="2"/>
    <x v="6"/>
    <n v="0"/>
    <n v="0"/>
    <n v="7.0000000000000007E-2"/>
    <n v="7.0000000000000007E-2"/>
    <n v="7.0000000000000007E-2"/>
    <n v="7.0000000000000007E-2"/>
    <n v="0"/>
    <x v="0"/>
    <n v="0"/>
    <n v="0"/>
    <n v="39"/>
    <n v="85"/>
    <n v="0"/>
    <n v="264.77"/>
    <n v="90.16"/>
    <m/>
    <n v="292.83783699211273"/>
    <n v="81.973594265193938"/>
    <n v="0"/>
    <n v="18.533899999999999"/>
    <n v="6.3112000000000004"/>
    <n v="0"/>
    <n v="20.498648589447892"/>
    <n v="5.7381515985635758"/>
  </r>
  <r>
    <s v="Regular"/>
    <x v="1"/>
    <x v="2"/>
    <x v="5"/>
    <x v="4"/>
    <x v="0"/>
    <x v="0"/>
    <x v="2"/>
    <x v="7"/>
    <n v="0"/>
    <n v="0"/>
    <n v="37.302"/>
    <n v="37.302"/>
    <n v="37.302"/>
    <n v="37.302"/>
    <n v="50"/>
    <x v="0"/>
    <n v="0"/>
    <n v="0"/>
    <n v="39"/>
    <n v="85"/>
    <n v="0"/>
    <n v="264.77"/>
    <n v="90.16"/>
    <m/>
    <n v="292.83783699211273"/>
    <n v="81.973594265193938"/>
    <n v="0"/>
    <n v="9876.4505399999998"/>
    <n v="3363.1483199999998"/>
    <n v="0"/>
    <n v="10923.436995479789"/>
    <n v="3057.7790132802643"/>
  </r>
  <r>
    <s v="Regular"/>
    <x v="1"/>
    <x v="2"/>
    <x v="5"/>
    <x v="4"/>
    <x v="0"/>
    <x v="0"/>
    <x v="2"/>
    <x v="8"/>
    <n v="0"/>
    <n v="0"/>
    <n v="38.965000000000003"/>
    <n v="38.965000000000003"/>
    <n v="38.965000000000003"/>
    <n v="38.965000000000003"/>
    <n v="97"/>
    <x v="0"/>
    <n v="0"/>
    <n v="0"/>
    <n v="39"/>
    <n v="85"/>
    <n v="0"/>
    <n v="264.77"/>
    <n v="90.16"/>
    <m/>
    <n v="292.83783699211273"/>
    <n v="81.973594265193938"/>
    <n v="0"/>
    <n v="10316.76305"/>
    <n v="3513.0844000000002"/>
    <n v="0"/>
    <n v="11410.426318397673"/>
    <n v="3194.101100543282"/>
  </r>
  <r>
    <s v="Regular"/>
    <x v="1"/>
    <x v="2"/>
    <x v="5"/>
    <x v="4"/>
    <x v="0"/>
    <x v="0"/>
    <x v="2"/>
    <x v="9"/>
    <n v="0"/>
    <n v="0"/>
    <n v="33.924999999999997"/>
    <n v="33.924999999999997"/>
    <n v="33.924999999999997"/>
    <n v="33.924999999999997"/>
    <n v="78"/>
    <x v="0"/>
    <n v="0"/>
    <n v="0"/>
    <n v="39"/>
    <n v="85"/>
    <n v="0"/>
    <n v="264.77"/>
    <n v="90.16"/>
    <m/>
    <n v="292.83783699211273"/>
    <n v="81.973594265193938"/>
    <n v="0"/>
    <n v="8982.3222499999993"/>
    <n v="3058.6779999999994"/>
    <n v="0"/>
    <n v="9934.5236199574229"/>
    <n v="2780.9541854467043"/>
  </r>
  <r>
    <s v="Refaturamento - Regular"/>
    <x v="1"/>
    <x v="2"/>
    <x v="5"/>
    <x v="4"/>
    <x v="0"/>
    <x v="0"/>
    <x v="2"/>
    <x v="9"/>
    <n v="0"/>
    <n v="0"/>
    <n v="0.02"/>
    <n v="0.02"/>
    <n v="0.02"/>
    <n v="0.02"/>
    <n v="0"/>
    <x v="0"/>
    <n v="0"/>
    <n v="0"/>
    <n v="39"/>
    <n v="85"/>
    <n v="0"/>
    <n v="264.77"/>
    <n v="90.16"/>
    <m/>
    <n v="292.83783699211273"/>
    <n v="81.973594265193938"/>
    <n v="0"/>
    <n v="5.2953999999999999"/>
    <n v="1.8031999999999999"/>
    <n v="0"/>
    <n v="5.8567567398422549"/>
    <n v="1.6394718853038788"/>
  </r>
  <r>
    <s v="Regular"/>
    <x v="1"/>
    <x v="2"/>
    <x v="5"/>
    <x v="4"/>
    <x v="0"/>
    <x v="0"/>
    <x v="2"/>
    <x v="10"/>
    <n v="0"/>
    <n v="0"/>
    <n v="34.805"/>
    <n v="34.805"/>
    <n v="34.805"/>
    <n v="34.805"/>
    <n v="72"/>
    <x v="0"/>
    <n v="0"/>
    <n v="0"/>
    <n v="39"/>
    <n v="85"/>
    <n v="0"/>
    <n v="264.77"/>
    <n v="90.16"/>
    <m/>
    <n v="292.83783699211273"/>
    <n v="81.973594265193938"/>
    <n v="0"/>
    <n v="9215.3198499999999"/>
    <n v="3138.0187999999998"/>
    <n v="0"/>
    <n v="10192.220916510483"/>
    <n v="2853.0909484000749"/>
  </r>
  <r>
    <s v="Refaturamento - Regular"/>
    <x v="1"/>
    <x v="2"/>
    <x v="5"/>
    <x v="4"/>
    <x v="0"/>
    <x v="0"/>
    <x v="2"/>
    <x v="10"/>
    <n v="0"/>
    <n v="0"/>
    <n v="0.14000000000000001"/>
    <n v="0.14000000000000001"/>
    <n v="0.14000000000000001"/>
    <n v="0.14000000000000001"/>
    <n v="0"/>
    <x v="0"/>
    <n v="0"/>
    <n v="0"/>
    <n v="39"/>
    <n v="85"/>
    <n v="0"/>
    <n v="264.77"/>
    <n v="90.16"/>
    <m/>
    <n v="292.83783699211273"/>
    <n v="81.973594265193938"/>
    <n v="0"/>
    <n v="37.067799999999998"/>
    <n v="12.622400000000001"/>
    <n v="0"/>
    <n v="40.997297178895785"/>
    <n v="11.476303197127152"/>
  </r>
  <r>
    <s v="PROJETADO"/>
    <x v="1"/>
    <x v="2"/>
    <x v="5"/>
    <x v="4"/>
    <x v="0"/>
    <x v="0"/>
    <x v="2"/>
    <x v="11"/>
    <n v="0"/>
    <n v="0"/>
    <n v="34.805"/>
    <n v="34.805"/>
    <n v="34.805"/>
    <n v="34.805"/>
    <n v="72"/>
    <x v="0"/>
    <n v="0"/>
    <n v="0"/>
    <n v="39"/>
    <n v="85"/>
    <n v="0"/>
    <n v="264.77"/>
    <n v="90.16"/>
    <m/>
    <n v="292.83783699211273"/>
    <n v="81.973594265193938"/>
    <n v="0"/>
    <n v="9215.3198499999999"/>
    <n v="3138.0187999999998"/>
    <n v="0"/>
    <n v="10192.220916510483"/>
    <n v="2853.0909484000749"/>
  </r>
  <r>
    <s v="PROJETADO"/>
    <x v="1"/>
    <x v="2"/>
    <x v="5"/>
    <x v="4"/>
    <x v="0"/>
    <x v="0"/>
    <x v="2"/>
    <x v="11"/>
    <n v="0"/>
    <n v="0"/>
    <n v="0.14000000000000001"/>
    <n v="0.14000000000000001"/>
    <n v="0.14000000000000001"/>
    <n v="0.14000000000000001"/>
    <n v="0"/>
    <x v="0"/>
    <n v="0"/>
    <n v="0"/>
    <n v="39"/>
    <n v="85"/>
    <n v="0"/>
    <n v="264.77"/>
    <n v="90.16"/>
    <m/>
    <n v="292.83783699211273"/>
    <n v="81.973594265193938"/>
    <n v="0"/>
    <n v="37.067799999999998"/>
    <n v="12.622400000000001"/>
    <n v="0"/>
    <n v="40.997297178895785"/>
    <n v="11.476303197127152"/>
  </r>
  <r>
    <s v="Regular"/>
    <x v="1"/>
    <x v="2"/>
    <x v="5"/>
    <x v="5"/>
    <x v="0"/>
    <x v="0"/>
    <x v="2"/>
    <x v="0"/>
    <n v="0"/>
    <n v="0"/>
    <n v="37.183"/>
    <n v="37.183"/>
    <n v="37.183"/>
    <n v="37.183"/>
    <n v="237"/>
    <x v="0"/>
    <n v="0"/>
    <n v="0"/>
    <n v="36"/>
    <n v="86"/>
    <n v="0"/>
    <n v="397.15"/>
    <n v="135.24"/>
    <m/>
    <n v="439.25675548816912"/>
    <n v="122.96039139779091"/>
    <n v="0"/>
    <n v="14767.228449999999"/>
    <n v="5028.6289200000001"/>
    <n v="0"/>
    <n v="16332.883939316593"/>
    <n v="4572.0362333440598"/>
  </r>
  <r>
    <s v="Regular"/>
    <x v="1"/>
    <x v="2"/>
    <x v="5"/>
    <x v="5"/>
    <x v="0"/>
    <x v="0"/>
    <x v="2"/>
    <x v="1"/>
    <n v="0"/>
    <n v="0"/>
    <n v="36.628"/>
    <n v="36.628"/>
    <n v="36.628"/>
    <n v="36.628"/>
    <n v="268"/>
    <x v="0"/>
    <n v="0"/>
    <n v="0"/>
    <n v="36"/>
    <n v="86"/>
    <n v="0"/>
    <n v="397.15"/>
    <n v="135.24"/>
    <m/>
    <n v="439.25675548816912"/>
    <n v="122.96039139779091"/>
    <n v="0"/>
    <n v="14546.8102"/>
    <n v="4953.5707200000006"/>
    <n v="0"/>
    <n v="16089.096440020659"/>
    <n v="4503.7932161182853"/>
  </r>
  <r>
    <s v="Refaturamento - Regular"/>
    <x v="1"/>
    <x v="2"/>
    <x v="5"/>
    <x v="5"/>
    <x v="0"/>
    <x v="0"/>
    <x v="2"/>
    <x v="1"/>
    <n v="0"/>
    <n v="0"/>
    <n v="0.10199999999999999"/>
    <n v="0.10199999999999999"/>
    <n v="0.10199999999999999"/>
    <n v="0.10199999999999999"/>
    <n v="0"/>
    <x v="0"/>
    <n v="0"/>
    <n v="0"/>
    <n v="36"/>
    <n v="86"/>
    <n v="0"/>
    <n v="397.15"/>
    <n v="135.24"/>
    <m/>
    <n v="439.25675548816912"/>
    <n v="122.96039139779091"/>
    <n v="0"/>
    <n v="40.509299999999996"/>
    <n v="13.79448"/>
    <n v="0"/>
    <n v="44.804189059793245"/>
    <n v="12.541959922574673"/>
  </r>
  <r>
    <s v="Regular"/>
    <x v="1"/>
    <x v="2"/>
    <x v="5"/>
    <x v="5"/>
    <x v="0"/>
    <x v="0"/>
    <x v="2"/>
    <x v="2"/>
    <n v="0"/>
    <n v="0"/>
    <n v="38.396000000000001"/>
    <n v="38.396000000000001"/>
    <n v="38.396000000000001"/>
    <n v="38.396000000000001"/>
    <n v="266"/>
    <x v="0"/>
    <n v="0"/>
    <n v="0"/>
    <n v="36"/>
    <n v="86"/>
    <n v="0"/>
    <n v="397.15"/>
    <n v="135.24"/>
    <m/>
    <n v="439.25675548816912"/>
    <n v="122.96039139779091"/>
    <n v="0"/>
    <n v="15248.971399999999"/>
    <n v="5192.6750400000001"/>
    <n v="0"/>
    <n v="16865.702383723743"/>
    <n v="4721.1871881095803"/>
  </r>
  <r>
    <s v="Refaturamento - Regular"/>
    <x v="1"/>
    <x v="2"/>
    <x v="5"/>
    <x v="5"/>
    <x v="0"/>
    <x v="0"/>
    <x v="2"/>
    <x v="2"/>
    <n v="0"/>
    <n v="0"/>
    <n v="-0.12"/>
    <n v="-0.12"/>
    <n v="-0.12"/>
    <n v="-0.12"/>
    <n v="0"/>
    <x v="0"/>
    <n v="0"/>
    <n v="0"/>
    <n v="36"/>
    <n v="86"/>
    <n v="0"/>
    <n v="397.15"/>
    <n v="135.24"/>
    <m/>
    <n v="439.25675548816912"/>
    <n v="122.96039139779091"/>
    <n v="0"/>
    <n v="-47.657999999999994"/>
    <n v="-16.2288"/>
    <n v="0"/>
    <n v="-52.710810658580293"/>
    <n v="-14.755246967734909"/>
  </r>
  <r>
    <s v="Regular"/>
    <x v="1"/>
    <x v="2"/>
    <x v="5"/>
    <x v="5"/>
    <x v="0"/>
    <x v="0"/>
    <x v="2"/>
    <x v="3"/>
    <n v="0"/>
    <n v="0"/>
    <n v="40.651000000000003"/>
    <n v="40.651000000000003"/>
    <n v="40.651000000000003"/>
    <n v="40.651000000000003"/>
    <n v="254"/>
    <x v="0"/>
    <n v="0"/>
    <n v="0"/>
    <n v="36"/>
    <n v="86"/>
    <n v="0"/>
    <n v="397.15"/>
    <n v="135.24"/>
    <m/>
    <n v="439.25675548816912"/>
    <n v="122.96039139779091"/>
    <n v="0"/>
    <n v="16144.54465"/>
    <n v="5497.6412400000008"/>
    <n v="0"/>
    <n v="17856.226367349565"/>
    <n v="4998.462870711599"/>
  </r>
  <r>
    <s v="Refaturamento - Regular"/>
    <x v="1"/>
    <x v="2"/>
    <x v="5"/>
    <x v="5"/>
    <x v="0"/>
    <x v="0"/>
    <x v="2"/>
    <x v="3"/>
    <n v="0"/>
    <n v="0"/>
    <n v="-0.12"/>
    <n v="-0.12"/>
    <n v="-0.12"/>
    <n v="-0.12"/>
    <n v="0"/>
    <x v="0"/>
    <n v="0"/>
    <n v="0"/>
    <n v="36"/>
    <n v="86"/>
    <n v="0"/>
    <n v="397.15"/>
    <n v="135.24"/>
    <m/>
    <n v="439.25675548816912"/>
    <n v="122.96039139779091"/>
    <n v="0"/>
    <n v="-47.657999999999994"/>
    <n v="-16.2288"/>
    <n v="0"/>
    <n v="-52.710810658580293"/>
    <n v="-14.755246967734909"/>
  </r>
  <r>
    <s v="Regular"/>
    <x v="1"/>
    <x v="2"/>
    <x v="5"/>
    <x v="5"/>
    <x v="0"/>
    <x v="0"/>
    <x v="2"/>
    <x v="4"/>
    <n v="0"/>
    <n v="0"/>
    <n v="46.091999999999999"/>
    <n v="46.091999999999999"/>
    <n v="46.091999999999999"/>
    <n v="46.091999999999999"/>
    <n v="201"/>
    <x v="0"/>
    <n v="0"/>
    <n v="0"/>
    <n v="36"/>
    <n v="86"/>
    <n v="0"/>
    <n v="397.15"/>
    <n v="135.24"/>
    <m/>
    <n v="439.25675548816912"/>
    <n v="122.96039139779091"/>
    <n v="0"/>
    <n v="18305.4378"/>
    <n v="6233.4820800000007"/>
    <n v="0"/>
    <n v="20246.222373960689"/>
    <n v="5667.4903603069788"/>
  </r>
  <r>
    <s v="Regular"/>
    <x v="1"/>
    <x v="2"/>
    <x v="5"/>
    <x v="5"/>
    <x v="0"/>
    <x v="0"/>
    <x v="2"/>
    <x v="5"/>
    <n v="0"/>
    <n v="0"/>
    <n v="45.088000000000001"/>
    <n v="45.088000000000001"/>
    <n v="45.088000000000001"/>
    <n v="45.088000000000001"/>
    <n v="218"/>
    <x v="0"/>
    <n v="0"/>
    <n v="0"/>
    <n v="36"/>
    <n v="86"/>
    <n v="0"/>
    <n v="397.15"/>
    <n v="135.24"/>
    <m/>
    <n v="439.25675548816912"/>
    <n v="122.96039139779091"/>
    <n v="0"/>
    <n v="17906.699199999999"/>
    <n v="6097.7011200000006"/>
    <n v="0"/>
    <n v="19805.20859145057"/>
    <n v="5544.0381273435969"/>
  </r>
  <r>
    <s v="Regular"/>
    <x v="1"/>
    <x v="2"/>
    <x v="5"/>
    <x v="5"/>
    <x v="0"/>
    <x v="0"/>
    <x v="2"/>
    <x v="6"/>
    <n v="0"/>
    <n v="0"/>
    <n v="44.905999999999999"/>
    <n v="44.905999999999999"/>
    <n v="44.905999999999999"/>
    <n v="44.905999999999999"/>
    <n v="249"/>
    <x v="0"/>
    <n v="0"/>
    <n v="0"/>
    <n v="36"/>
    <n v="86"/>
    <n v="0"/>
    <n v="397.15"/>
    <n v="135.24"/>
    <m/>
    <n v="439.25675548816912"/>
    <n v="122.96039139779091"/>
    <n v="0"/>
    <n v="17834.417899999997"/>
    <n v="6073.0874400000002"/>
    <n v="0"/>
    <n v="19725.26386195172"/>
    <n v="5521.6593361091991"/>
  </r>
  <r>
    <s v="Refaturamento - Regular"/>
    <x v="1"/>
    <x v="2"/>
    <x v="5"/>
    <x v="5"/>
    <x v="0"/>
    <x v="0"/>
    <x v="2"/>
    <x v="6"/>
    <n v="0"/>
    <n v="0"/>
    <n v="0.03"/>
    <n v="0.03"/>
    <n v="0.03"/>
    <n v="0.03"/>
    <n v="0"/>
    <x v="0"/>
    <n v="0"/>
    <n v="0"/>
    <n v="36"/>
    <n v="86"/>
    <n v="0"/>
    <n v="397.15"/>
    <n v="135.24"/>
    <m/>
    <n v="439.25675548816912"/>
    <n v="122.96039139779091"/>
    <n v="0"/>
    <n v="11.914499999999999"/>
    <n v="4.0571999999999999"/>
    <n v="0"/>
    <n v="13.177702664645073"/>
    <n v="3.6888117419337272"/>
  </r>
  <r>
    <s v="Regular"/>
    <x v="1"/>
    <x v="2"/>
    <x v="5"/>
    <x v="5"/>
    <x v="0"/>
    <x v="0"/>
    <x v="2"/>
    <x v="7"/>
    <n v="0"/>
    <n v="0"/>
    <n v="44.447000000000003"/>
    <n v="44.447000000000003"/>
    <n v="44.447000000000003"/>
    <n v="44.447000000000003"/>
    <n v="273"/>
    <x v="0"/>
    <n v="0"/>
    <n v="0"/>
    <n v="36"/>
    <n v="86"/>
    <n v="0"/>
    <n v="397.15"/>
    <n v="135.24"/>
    <m/>
    <n v="439.25675548816912"/>
    <n v="122.96039139779091"/>
    <n v="0"/>
    <n v="17652.126049999999"/>
    <n v="6011.0122800000008"/>
    <n v="0"/>
    <n v="19523.645011182653"/>
    <n v="5465.2205164576135"/>
  </r>
  <r>
    <s v="Regular"/>
    <x v="1"/>
    <x v="2"/>
    <x v="5"/>
    <x v="5"/>
    <x v="0"/>
    <x v="0"/>
    <x v="2"/>
    <x v="8"/>
    <n v="0"/>
    <n v="0"/>
    <n v="40.914999999999999"/>
    <n v="40.914999999999999"/>
    <n v="40.914999999999999"/>
    <n v="40.914999999999999"/>
    <n v="311"/>
    <x v="0"/>
    <n v="0"/>
    <n v="0"/>
    <n v="36"/>
    <n v="86"/>
    <n v="0"/>
    <n v="397.15"/>
    <n v="135.24"/>
    <m/>
    <n v="439.25675548816912"/>
    <n v="122.96039139779091"/>
    <n v="0"/>
    <n v="16249.392249999999"/>
    <n v="5533.3446000000004"/>
    <n v="0"/>
    <n v="17972.19015079844"/>
    <n v="5030.9244140406154"/>
  </r>
  <r>
    <s v="Regular"/>
    <x v="1"/>
    <x v="2"/>
    <x v="5"/>
    <x v="5"/>
    <x v="0"/>
    <x v="0"/>
    <x v="2"/>
    <x v="9"/>
    <n v="0"/>
    <n v="0"/>
    <n v="37.840000000000003"/>
    <n v="37.840000000000003"/>
    <n v="37.840000000000003"/>
    <n v="37.840000000000003"/>
    <n v="242"/>
    <x v="0"/>
    <n v="0"/>
    <n v="0"/>
    <n v="36"/>
    <n v="86"/>
    <n v="0"/>
    <n v="397.15"/>
    <n v="135.24"/>
    <m/>
    <n v="439.25675548816912"/>
    <n v="122.96039139779091"/>
    <n v="0"/>
    <n v="15028.156000000001"/>
    <n v="5117.481600000001"/>
    <n v="0"/>
    <n v="16621.47562767232"/>
    <n v="4652.8212104924087"/>
  </r>
  <r>
    <s v="Refaturamento - Regular"/>
    <x v="1"/>
    <x v="2"/>
    <x v="5"/>
    <x v="5"/>
    <x v="0"/>
    <x v="0"/>
    <x v="2"/>
    <x v="9"/>
    <n v="0"/>
    <n v="0"/>
    <n v="-1.6E-2"/>
    <n v="-1.6E-2"/>
    <n v="-1.6E-2"/>
    <n v="-1.6E-2"/>
    <n v="0"/>
    <x v="0"/>
    <n v="0"/>
    <n v="0"/>
    <n v="36"/>
    <n v="86"/>
    <n v="0"/>
    <n v="397.15"/>
    <n v="135.24"/>
    <m/>
    <n v="439.25675548816912"/>
    <n v="122.96039139779091"/>
    <n v="0"/>
    <n v="-6.3544"/>
    <n v="-2.16384"/>
    <n v="0"/>
    <n v="-7.0281080878107058"/>
    <n v="-1.9673662623646546"/>
  </r>
  <r>
    <s v="Regular"/>
    <x v="1"/>
    <x v="2"/>
    <x v="5"/>
    <x v="5"/>
    <x v="0"/>
    <x v="0"/>
    <x v="2"/>
    <x v="10"/>
    <n v="0"/>
    <n v="0"/>
    <n v="37.328000000000003"/>
    <n v="37.328000000000003"/>
    <n v="37.328000000000003"/>
    <n v="37.328000000000003"/>
    <n v="262"/>
    <x v="0"/>
    <n v="0"/>
    <n v="0"/>
    <n v="36"/>
    <n v="86"/>
    <n v="0"/>
    <n v="397.15"/>
    <n v="135.24"/>
    <m/>
    <n v="439.25675548816912"/>
    <n v="122.96039139779091"/>
    <n v="0"/>
    <n v="14824.815200000001"/>
    <n v="5048.2387200000003"/>
    <n v="0"/>
    <n v="16396.576168862379"/>
    <n v="4589.8654900967394"/>
  </r>
  <r>
    <s v="Refaturamento - Regular"/>
    <x v="1"/>
    <x v="2"/>
    <x v="5"/>
    <x v="5"/>
    <x v="0"/>
    <x v="0"/>
    <x v="2"/>
    <x v="10"/>
    <n v="0"/>
    <n v="0"/>
    <n v="0.13200000000000001"/>
    <n v="0.13200000000000001"/>
    <n v="0.13200000000000001"/>
    <n v="0.13200000000000001"/>
    <n v="0"/>
    <x v="0"/>
    <n v="0"/>
    <n v="0"/>
    <n v="36"/>
    <n v="86"/>
    <n v="0"/>
    <n v="397.15"/>
    <n v="135.24"/>
    <m/>
    <n v="439.25675548816912"/>
    <n v="122.96039139779091"/>
    <n v="0"/>
    <n v="52.4238"/>
    <n v="17.851680000000002"/>
    <n v="0"/>
    <n v="57.981891724438327"/>
    <n v="16.230771664508403"/>
  </r>
  <r>
    <s v="PROJETADO"/>
    <x v="1"/>
    <x v="2"/>
    <x v="5"/>
    <x v="5"/>
    <x v="0"/>
    <x v="0"/>
    <x v="2"/>
    <x v="11"/>
    <n v="0"/>
    <n v="0"/>
    <n v="37.328000000000003"/>
    <n v="37.328000000000003"/>
    <n v="37.328000000000003"/>
    <n v="37.328000000000003"/>
    <n v="262"/>
    <x v="0"/>
    <n v="0"/>
    <n v="0"/>
    <n v="36"/>
    <n v="86"/>
    <n v="0"/>
    <n v="397.15"/>
    <n v="135.24"/>
    <m/>
    <n v="439.25675548816912"/>
    <n v="122.96039139779091"/>
    <n v="0"/>
    <n v="14824.815200000001"/>
    <n v="5048.2387200000003"/>
    <n v="0"/>
    <n v="16396.576168862379"/>
    <n v="4589.8654900967394"/>
  </r>
  <r>
    <s v="PROJETADO"/>
    <x v="1"/>
    <x v="2"/>
    <x v="5"/>
    <x v="5"/>
    <x v="0"/>
    <x v="0"/>
    <x v="2"/>
    <x v="11"/>
    <n v="0"/>
    <n v="0"/>
    <n v="0.13200000000000001"/>
    <n v="0.13200000000000001"/>
    <n v="0.13200000000000001"/>
    <n v="0.13200000000000001"/>
    <n v="0"/>
    <x v="0"/>
    <n v="0"/>
    <n v="0"/>
    <n v="36"/>
    <n v="86"/>
    <n v="0"/>
    <n v="397.15"/>
    <n v="135.24"/>
    <m/>
    <n v="439.25675548816912"/>
    <n v="122.96039139779091"/>
    <n v="0"/>
    <n v="52.4238"/>
    <n v="17.851680000000002"/>
    <n v="0"/>
    <n v="57.981891724438327"/>
    <n v="16.230771664508403"/>
  </r>
  <r>
    <s v="Regular"/>
    <x v="1"/>
    <x v="2"/>
    <x v="5"/>
    <x v="6"/>
    <x v="0"/>
    <x v="0"/>
    <x v="2"/>
    <x v="0"/>
    <n v="0"/>
    <n v="0"/>
    <n v="14.227"/>
    <n v="14.227"/>
    <n v="14.227"/>
    <n v="14.227"/>
    <n v="186"/>
    <x v="0"/>
    <n v="0"/>
    <n v="0"/>
    <n v="52"/>
    <n v="87"/>
    <n v="0"/>
    <n v="441.28"/>
    <n v="150.26"/>
    <m/>
    <n v="488.06306165352123"/>
    <n v="136.62265710865657"/>
    <n v="0"/>
    <n v="6278.0905599999996"/>
    <n v="2137.7490199999997"/>
    <n v="0"/>
    <n v="6943.673178144647"/>
    <n v="1943.730542684857"/>
  </r>
  <r>
    <s v="Regular"/>
    <x v="1"/>
    <x v="2"/>
    <x v="5"/>
    <x v="6"/>
    <x v="0"/>
    <x v="0"/>
    <x v="2"/>
    <x v="1"/>
    <n v="0"/>
    <n v="0"/>
    <n v="13.89"/>
    <n v="13.89"/>
    <n v="13.89"/>
    <n v="13.89"/>
    <n v="173"/>
    <x v="0"/>
    <n v="0"/>
    <n v="0"/>
    <n v="52"/>
    <n v="87"/>
    <n v="0"/>
    <n v="441.28"/>
    <n v="150.26"/>
    <m/>
    <n v="488.06306165352123"/>
    <n v="136.62265710865657"/>
    <n v="0"/>
    <n v="6129.3792000000003"/>
    <n v="2087.1113999999998"/>
    <n v="0"/>
    <n v="6779.1959263674098"/>
    <n v="1897.6887072392399"/>
  </r>
  <r>
    <s v="Refaturamento - Regular"/>
    <x v="1"/>
    <x v="2"/>
    <x v="5"/>
    <x v="6"/>
    <x v="0"/>
    <x v="0"/>
    <x v="2"/>
    <x v="1"/>
    <n v="0"/>
    <n v="0"/>
    <n v="-3.6999999999999998E-2"/>
    <n v="-3.6999999999999998E-2"/>
    <n v="-3.6999999999999998E-2"/>
    <n v="-3.6999999999999998E-2"/>
    <n v="0"/>
    <x v="0"/>
    <n v="0"/>
    <n v="0"/>
    <n v="52"/>
    <n v="87"/>
    <n v="0"/>
    <n v="441.28"/>
    <n v="150.26"/>
    <m/>
    <n v="488.06306165352123"/>
    <n v="136.62265710865657"/>
    <n v="0"/>
    <n v="-16.327359999999999"/>
    <n v="-5.5596199999999998"/>
    <n v="0"/>
    <n v="-18.058333281180285"/>
    <n v="-5.0550383130202929"/>
  </r>
  <r>
    <s v="Regular"/>
    <x v="1"/>
    <x v="2"/>
    <x v="5"/>
    <x v="6"/>
    <x v="0"/>
    <x v="0"/>
    <x v="2"/>
    <x v="2"/>
    <n v="0"/>
    <n v="0"/>
    <n v="15.231999999999999"/>
    <n v="15.231999999999999"/>
    <n v="15.231999999999999"/>
    <n v="15.231999999999999"/>
    <n v="183"/>
    <x v="0"/>
    <n v="0"/>
    <n v="0"/>
    <n v="52"/>
    <n v="87"/>
    <n v="0"/>
    <n v="441.28"/>
    <n v="150.26"/>
    <m/>
    <n v="488.06306165352123"/>
    <n v="136.62265710865657"/>
    <n v="0"/>
    <n v="6721.5769599999994"/>
    <n v="2288.7603199999999"/>
    <n v="0"/>
    <n v="7434.1765551064354"/>
    <n v="2081.036313079057"/>
  </r>
  <r>
    <s v="Refaturamento - Regular"/>
    <x v="1"/>
    <x v="2"/>
    <x v="5"/>
    <x v="6"/>
    <x v="0"/>
    <x v="0"/>
    <x v="2"/>
    <x v="2"/>
    <n v="0"/>
    <n v="0"/>
    <n v="-1.2809999999999999"/>
    <n v="-1.2809999999999999"/>
    <n v="-1.2809999999999999"/>
    <n v="-1.2809999999999999"/>
    <n v="0"/>
    <x v="0"/>
    <n v="0"/>
    <n v="0"/>
    <n v="52"/>
    <n v="87"/>
    <n v="0"/>
    <n v="441.28"/>
    <n v="150.26"/>
    <m/>
    <n v="488.06306165352123"/>
    <n v="136.62265710865657"/>
    <n v="0"/>
    <n v="-565.27967999999998"/>
    <n v="-192.48305999999997"/>
    <n v="0"/>
    <n v="-625.20878197816069"/>
    <n v="-175.01362375618905"/>
  </r>
  <r>
    <s v="Regular"/>
    <x v="1"/>
    <x v="2"/>
    <x v="5"/>
    <x v="6"/>
    <x v="0"/>
    <x v="0"/>
    <x v="2"/>
    <x v="3"/>
    <n v="0"/>
    <n v="0"/>
    <n v="17.779"/>
    <n v="17.779"/>
    <n v="17.779"/>
    <n v="17.779"/>
    <n v="207"/>
    <x v="0"/>
    <n v="0"/>
    <n v="0"/>
    <n v="52"/>
    <n v="87"/>
    <n v="0"/>
    <n v="441.28"/>
    <n v="150.26"/>
    <m/>
    <n v="488.06306165352123"/>
    <n v="136.62265710865657"/>
    <n v="0"/>
    <n v="7845.5171199999995"/>
    <n v="2671.4725399999998"/>
    <n v="0"/>
    <n v="8677.2731731379536"/>
    <n v="2429.0142207348049"/>
  </r>
  <r>
    <s v="Refaturamento - Regular"/>
    <x v="1"/>
    <x v="2"/>
    <x v="5"/>
    <x v="6"/>
    <x v="0"/>
    <x v="0"/>
    <x v="2"/>
    <x v="3"/>
    <n v="0"/>
    <n v="0"/>
    <n v="-0.245"/>
    <n v="-0.245"/>
    <n v="-0.245"/>
    <n v="-0.245"/>
    <n v="0"/>
    <x v="0"/>
    <n v="0"/>
    <n v="0"/>
    <n v="52"/>
    <n v="87"/>
    <n v="0"/>
    <n v="441.28"/>
    <n v="150.26"/>
    <m/>
    <n v="488.06306165352123"/>
    <n v="136.62265710865657"/>
    <n v="0"/>
    <n v="-108.11359999999999"/>
    <n v="-36.813699999999997"/>
    <n v="0"/>
    <n v="-119.57545010511269"/>
    <n v="-33.472550991620857"/>
  </r>
  <r>
    <s v="Regular"/>
    <x v="1"/>
    <x v="2"/>
    <x v="5"/>
    <x v="6"/>
    <x v="0"/>
    <x v="0"/>
    <x v="2"/>
    <x v="4"/>
    <n v="0"/>
    <n v="0"/>
    <n v="30.530999999999999"/>
    <n v="30.530999999999999"/>
    <n v="30.530999999999999"/>
    <n v="30.530999999999999"/>
    <n v="273"/>
    <x v="0"/>
    <n v="0"/>
    <n v="0"/>
    <n v="52"/>
    <n v="87"/>
    <n v="0"/>
    <n v="441.28"/>
    <n v="150.26"/>
    <m/>
    <n v="488.06306165352123"/>
    <n v="136.62265710865657"/>
    <n v="0"/>
    <n v="13472.719679999998"/>
    <n v="4587.5880599999991"/>
    <n v="0"/>
    <n v="14901.053335343657"/>
    <n v="4171.2263441843934"/>
  </r>
  <r>
    <s v="Regular"/>
    <x v="1"/>
    <x v="2"/>
    <x v="5"/>
    <x v="6"/>
    <x v="0"/>
    <x v="0"/>
    <x v="2"/>
    <x v="5"/>
    <n v="0"/>
    <n v="0"/>
    <n v="28.343"/>
    <n v="28.343"/>
    <n v="28.343"/>
    <n v="28.343"/>
    <n v="255"/>
    <x v="0"/>
    <n v="0"/>
    <n v="0"/>
    <n v="52"/>
    <n v="87"/>
    <n v="0"/>
    <n v="441.28"/>
    <n v="150.26"/>
    <m/>
    <n v="488.06306165352123"/>
    <n v="136.62265710865657"/>
    <n v="0"/>
    <n v="12507.19904"/>
    <n v="4258.8191799999995"/>
    <n v="0"/>
    <n v="13833.171356445751"/>
    <n v="3872.2959704306531"/>
  </r>
  <r>
    <s v="Regular"/>
    <x v="1"/>
    <x v="2"/>
    <x v="5"/>
    <x v="6"/>
    <x v="0"/>
    <x v="0"/>
    <x v="2"/>
    <x v="6"/>
    <n v="0"/>
    <n v="0"/>
    <n v="24.643999999999998"/>
    <n v="24.643999999999998"/>
    <n v="24.643999999999998"/>
    <n v="24.643999999999998"/>
    <n v="239"/>
    <x v="0"/>
    <n v="0"/>
    <n v="0"/>
    <n v="52"/>
    <n v="87"/>
    <n v="0"/>
    <n v="441.28"/>
    <n v="150.26"/>
    <m/>
    <n v="488.06306165352123"/>
    <n v="136.62265710865657"/>
    <n v="0"/>
    <n v="10874.904319999998"/>
    <n v="3703.0074399999994"/>
    <n v="0"/>
    <n v="12027.826091389377"/>
    <n v="3366.9287617857321"/>
  </r>
  <r>
    <s v="Regular"/>
    <x v="1"/>
    <x v="2"/>
    <x v="5"/>
    <x v="6"/>
    <x v="0"/>
    <x v="0"/>
    <x v="2"/>
    <x v="7"/>
    <n v="0"/>
    <n v="0"/>
    <n v="19.66"/>
    <n v="19.66"/>
    <n v="19.66"/>
    <n v="19.66"/>
    <n v="225"/>
    <x v="0"/>
    <n v="0"/>
    <n v="0"/>
    <n v="52"/>
    <n v="87"/>
    <n v="0"/>
    <n v="441.28"/>
    <n v="150.26"/>
    <m/>
    <n v="488.06306165352123"/>
    <n v="136.62265710865657"/>
    <n v="0"/>
    <n v="8675.5648000000001"/>
    <n v="2954.1115999999997"/>
    <n v="0"/>
    <n v="9595.3197921082283"/>
    <n v="2686.0014387561882"/>
  </r>
  <r>
    <s v="Regular"/>
    <x v="1"/>
    <x v="2"/>
    <x v="5"/>
    <x v="6"/>
    <x v="0"/>
    <x v="0"/>
    <x v="2"/>
    <x v="8"/>
    <n v="0"/>
    <n v="0"/>
    <n v="13.004"/>
    <n v="13.004"/>
    <n v="13.004"/>
    <n v="13.004"/>
    <n v="186"/>
    <x v="0"/>
    <n v="0"/>
    <n v="0"/>
    <n v="52"/>
    <n v="87"/>
    <n v="0"/>
    <n v="441.28"/>
    <n v="150.26"/>
    <m/>
    <n v="488.06306165352123"/>
    <n v="136.62265710865657"/>
    <n v="0"/>
    <n v="5738.4051199999994"/>
    <n v="1953.9810399999999"/>
    <n v="0"/>
    <n v="6346.7720537423902"/>
    <n v="1776.6410330409699"/>
  </r>
  <r>
    <s v="Regular"/>
    <x v="1"/>
    <x v="2"/>
    <x v="5"/>
    <x v="6"/>
    <x v="0"/>
    <x v="0"/>
    <x v="2"/>
    <x v="9"/>
    <n v="0"/>
    <n v="0"/>
    <n v="18.523"/>
    <n v="18.523"/>
    <n v="18.523"/>
    <n v="18.523"/>
    <n v="197"/>
    <x v="0"/>
    <n v="0"/>
    <n v="0"/>
    <n v="52"/>
    <n v="87"/>
    <n v="0"/>
    <n v="441.28"/>
    <n v="150.26"/>
    <m/>
    <n v="488.06306165352123"/>
    <n v="136.62265710865657"/>
    <n v="0"/>
    <n v="8173.8294399999995"/>
    <n v="2783.2659799999997"/>
    <n v="0"/>
    <n v="9040.3920910081742"/>
    <n v="2530.6614776236456"/>
  </r>
  <r>
    <s v="Refaturamento - Regular"/>
    <x v="1"/>
    <x v="2"/>
    <x v="5"/>
    <x v="6"/>
    <x v="0"/>
    <x v="0"/>
    <x v="2"/>
    <x v="9"/>
    <n v="0"/>
    <n v="0"/>
    <n v="0.309"/>
    <n v="0.309"/>
    <n v="0.309"/>
    <n v="0.309"/>
    <n v="0"/>
    <x v="0"/>
    <n v="0"/>
    <n v="0"/>
    <n v="52"/>
    <n v="87"/>
    <n v="0"/>
    <n v="441.28"/>
    <n v="150.26"/>
    <m/>
    <n v="488.06306165352123"/>
    <n v="136.62265710865657"/>
    <n v="0"/>
    <n v="136.35551999999998"/>
    <n v="46.430339999999994"/>
    <n v="0"/>
    <n v="150.81148605093807"/>
    <n v="42.21640104657488"/>
  </r>
  <r>
    <s v="Regular"/>
    <x v="1"/>
    <x v="2"/>
    <x v="5"/>
    <x v="6"/>
    <x v="0"/>
    <x v="0"/>
    <x v="2"/>
    <x v="10"/>
    <n v="0"/>
    <n v="0"/>
    <n v="18.992000000000001"/>
    <n v="18.992000000000001"/>
    <n v="18.992000000000001"/>
    <n v="18.992000000000001"/>
    <n v="189"/>
    <x v="0"/>
    <n v="0"/>
    <n v="0"/>
    <n v="52"/>
    <n v="87"/>
    <n v="0"/>
    <n v="441.28"/>
    <n v="150.26"/>
    <m/>
    <n v="488.06306165352123"/>
    <n v="136.62265710865657"/>
    <n v="0"/>
    <n v="8380.7897599999997"/>
    <n v="2853.73792"/>
    <n v="0"/>
    <n v="9269.2936669236751"/>
    <n v="2594.7375038076057"/>
  </r>
  <r>
    <s v="Refaturamento - Regular"/>
    <x v="1"/>
    <x v="2"/>
    <x v="5"/>
    <x v="6"/>
    <x v="0"/>
    <x v="0"/>
    <x v="2"/>
    <x v="10"/>
    <n v="0"/>
    <n v="0"/>
    <n v="0.313"/>
    <n v="0.313"/>
    <n v="0.313"/>
    <n v="0.313"/>
    <n v="0"/>
    <x v="0"/>
    <n v="0"/>
    <n v="0"/>
    <n v="52"/>
    <n v="87"/>
    <n v="0"/>
    <n v="441.28"/>
    <n v="150.26"/>
    <m/>
    <n v="488.06306165352123"/>
    <n v="136.62265710865657"/>
    <n v="0"/>
    <n v="138.12063999999998"/>
    <n v="47.031379999999999"/>
    <n v="0"/>
    <n v="152.76373829755215"/>
    <n v="42.762891675009506"/>
  </r>
  <r>
    <s v="PROJETADO"/>
    <x v="1"/>
    <x v="2"/>
    <x v="5"/>
    <x v="6"/>
    <x v="0"/>
    <x v="0"/>
    <x v="2"/>
    <x v="11"/>
    <n v="0"/>
    <n v="0"/>
    <n v="18.992000000000001"/>
    <n v="18.992000000000001"/>
    <n v="18.992000000000001"/>
    <n v="18.992000000000001"/>
    <n v="189"/>
    <x v="0"/>
    <n v="0"/>
    <n v="0"/>
    <n v="52"/>
    <n v="87"/>
    <n v="0"/>
    <n v="441.28"/>
    <n v="150.26"/>
    <m/>
    <n v="488.06306165352123"/>
    <n v="136.62265710865657"/>
    <n v="0"/>
    <n v="8380.7897599999997"/>
    <n v="2853.73792"/>
    <n v="0"/>
    <n v="9269.2936669236751"/>
    <n v="2594.7375038076057"/>
  </r>
  <r>
    <s v="PROJETADO"/>
    <x v="1"/>
    <x v="2"/>
    <x v="5"/>
    <x v="6"/>
    <x v="0"/>
    <x v="0"/>
    <x v="2"/>
    <x v="11"/>
    <n v="0"/>
    <n v="0"/>
    <n v="0.313"/>
    <n v="0.313"/>
    <n v="0.313"/>
    <n v="0.313"/>
    <n v="0"/>
    <x v="0"/>
    <n v="0"/>
    <n v="0"/>
    <n v="52"/>
    <n v="87"/>
    <n v="0"/>
    <n v="441.28"/>
    <n v="150.26"/>
    <m/>
    <n v="488.06306165352123"/>
    <n v="136.62265710865657"/>
    <n v="0"/>
    <n v="138.12063999999998"/>
    <n v="47.031379999999999"/>
    <n v="0"/>
    <n v="152.76373829755215"/>
    <n v="42.762891675009506"/>
  </r>
  <r>
    <s v="Regular"/>
    <x v="2"/>
    <x v="2"/>
    <x v="3"/>
    <x v="7"/>
    <x v="1"/>
    <x v="0"/>
    <x v="2"/>
    <x v="0"/>
    <n v="0"/>
    <n v="0"/>
    <n v="0.94"/>
    <n v="0.94"/>
    <n v="0.94"/>
    <n v="0.94"/>
    <n v="0"/>
    <x v="0"/>
    <n v="0"/>
    <n v="0"/>
    <n v="55"/>
    <n v="20"/>
    <n v="0"/>
    <n v="441.31"/>
    <n v="132.22999999999999"/>
    <m/>
    <n v="554.80001091929842"/>
    <n v="128.42529768213717"/>
    <n v="0"/>
    <n v="414.83139999999997"/>
    <n v="124.29619999999998"/>
    <n v="0"/>
    <n v="521.51201026414049"/>
    <n v="120.71977982120893"/>
  </r>
  <r>
    <s v="Regular"/>
    <x v="2"/>
    <x v="2"/>
    <x v="3"/>
    <x v="7"/>
    <x v="1"/>
    <x v="0"/>
    <x v="2"/>
    <x v="1"/>
    <n v="0"/>
    <n v="0"/>
    <n v="1.0900000000000001"/>
    <n v="1.0900000000000001"/>
    <n v="1.0900000000000001"/>
    <n v="1.0900000000000001"/>
    <n v="0"/>
    <x v="0"/>
    <n v="0"/>
    <n v="0"/>
    <n v="55"/>
    <n v="20"/>
    <n v="0"/>
    <n v="441.31"/>
    <n v="132.22999999999999"/>
    <m/>
    <n v="554.80001091929842"/>
    <n v="128.42529768213717"/>
    <n v="0"/>
    <n v="481.02790000000005"/>
    <n v="144.13069999999999"/>
    <n v="0"/>
    <n v="604.73201190203531"/>
    <n v="139.98357447352953"/>
  </r>
  <r>
    <s v="Regular"/>
    <x v="2"/>
    <x v="2"/>
    <x v="3"/>
    <x v="7"/>
    <x v="1"/>
    <x v="0"/>
    <x v="2"/>
    <x v="2"/>
    <n v="0"/>
    <n v="0"/>
    <n v="2.355"/>
    <n v="2.355"/>
    <n v="2.355"/>
    <n v="2.355"/>
    <n v="0"/>
    <x v="0"/>
    <n v="0"/>
    <n v="0"/>
    <n v="55"/>
    <n v="20"/>
    <n v="0"/>
    <n v="441.31"/>
    <n v="132.22999999999999"/>
    <m/>
    <n v="554.80001091929842"/>
    <n v="128.42529768213717"/>
    <n v="0"/>
    <n v="1039.28505"/>
    <n v="311.40164999999996"/>
    <n v="0"/>
    <n v="1306.5540257149478"/>
    <n v="302.44157604143305"/>
  </r>
  <r>
    <s v="Regular"/>
    <x v="2"/>
    <x v="2"/>
    <x v="3"/>
    <x v="7"/>
    <x v="1"/>
    <x v="0"/>
    <x v="2"/>
    <x v="3"/>
    <n v="0"/>
    <n v="0"/>
    <n v="3.3730000000000002"/>
    <n v="3.3730000000000002"/>
    <n v="3.3730000000000002"/>
    <n v="3.3730000000000002"/>
    <n v="0"/>
    <x v="0"/>
    <n v="0"/>
    <n v="0"/>
    <n v="55"/>
    <n v="20"/>
    <n v="0"/>
    <n v="441.31"/>
    <n v="132.22999999999999"/>
    <m/>
    <n v="554.80001091929842"/>
    <n v="128.42529768213717"/>
    <n v="0"/>
    <n v="1488.53863"/>
    <n v="446.01179000000002"/>
    <n v="0"/>
    <n v="1871.3404368307936"/>
    <n v="433.17852908184869"/>
  </r>
  <r>
    <s v="Regular"/>
    <x v="2"/>
    <x v="2"/>
    <x v="3"/>
    <x v="7"/>
    <x v="1"/>
    <x v="0"/>
    <x v="2"/>
    <x v="4"/>
    <n v="0"/>
    <n v="0"/>
    <n v="2.536"/>
    <n v="2.536"/>
    <n v="2.536"/>
    <n v="2.536"/>
    <n v="0"/>
    <x v="0"/>
    <n v="0"/>
    <n v="0"/>
    <n v="55"/>
    <n v="20"/>
    <n v="0"/>
    <n v="441.31"/>
    <n v="132.22999999999999"/>
    <m/>
    <n v="554.80001091929842"/>
    <n v="128.42529768213717"/>
    <n v="0"/>
    <n v="1119.1621600000001"/>
    <n v="335.33527999999995"/>
    <n v="0"/>
    <n v="1406.9728276913409"/>
    <n v="325.68655492189987"/>
  </r>
  <r>
    <s v="Regular"/>
    <x v="2"/>
    <x v="2"/>
    <x v="3"/>
    <x v="7"/>
    <x v="1"/>
    <x v="0"/>
    <x v="2"/>
    <x v="5"/>
    <n v="0"/>
    <n v="0"/>
    <n v="3.2069999999999999"/>
    <n v="3.2069999999999999"/>
    <n v="3.2069999999999999"/>
    <n v="3.2069999999999999"/>
    <n v="0"/>
    <x v="0"/>
    <n v="0"/>
    <n v="0"/>
    <n v="55"/>
    <n v="20"/>
    <n v="0"/>
    <n v="441.31"/>
    <n v="132.22999999999999"/>
    <m/>
    <n v="554.80001091929842"/>
    <n v="128.42529768213717"/>
    <n v="0"/>
    <n v="1415.28117"/>
    <n v="424.06160999999997"/>
    <n v="0"/>
    <n v="1779.2436350181899"/>
    <n v="411.85992966661388"/>
  </r>
  <r>
    <s v="Regular"/>
    <x v="2"/>
    <x v="2"/>
    <x v="3"/>
    <x v="7"/>
    <x v="1"/>
    <x v="0"/>
    <x v="2"/>
    <x v="6"/>
    <n v="0"/>
    <n v="0"/>
    <n v="8.2249999999999996"/>
    <n v="8.2249999999999996"/>
    <n v="8.2249999999999996"/>
    <n v="8.2249999999999996"/>
    <n v="0"/>
    <x v="0"/>
    <n v="0"/>
    <n v="0"/>
    <n v="55"/>
    <n v="20"/>
    <n v="0"/>
    <n v="441.31"/>
    <n v="132.22999999999999"/>
    <m/>
    <n v="554.80001091929842"/>
    <n v="128.42529768213717"/>
    <n v="0"/>
    <n v="3629.77475"/>
    <n v="1087.5917499999998"/>
    <n v="0"/>
    <n v="4563.2300898112289"/>
    <n v="1056.2980734355781"/>
  </r>
  <r>
    <s v="Regular"/>
    <x v="2"/>
    <x v="2"/>
    <x v="3"/>
    <x v="7"/>
    <x v="1"/>
    <x v="0"/>
    <x v="2"/>
    <x v="7"/>
    <n v="0"/>
    <n v="0"/>
    <n v="2.2810000000000001"/>
    <n v="2.2810000000000001"/>
    <n v="2.2810000000000001"/>
    <n v="2.2810000000000001"/>
    <n v="0"/>
    <x v="0"/>
    <n v="0"/>
    <n v="0"/>
    <n v="55"/>
    <n v="20"/>
    <n v="0"/>
    <n v="441.31"/>
    <n v="132.22999999999999"/>
    <m/>
    <n v="554.80001091929842"/>
    <n v="128.42529768213717"/>
    <n v="0"/>
    <n v="1006.6281100000001"/>
    <n v="301.61662999999999"/>
    <n v="0"/>
    <n v="1265.4988249069197"/>
    <n v="292.93810401295491"/>
  </r>
  <r>
    <s v="Refaturamento - Regular"/>
    <x v="2"/>
    <x v="2"/>
    <x v="3"/>
    <x v="7"/>
    <x v="1"/>
    <x v="0"/>
    <x v="2"/>
    <x v="7"/>
    <n v="0"/>
    <n v="0"/>
    <n v="-5.9180000000000001"/>
    <n v="-5.9180000000000001"/>
    <n v="-5.9180000000000001"/>
    <n v="-5.9180000000000001"/>
    <n v="0"/>
    <x v="0"/>
    <n v="0"/>
    <n v="0"/>
    <n v="55"/>
    <n v="20"/>
    <n v="0"/>
    <n v="441.31"/>
    <n v="132.22999999999999"/>
    <m/>
    <n v="554.80001091929842"/>
    <n v="128.42529768213717"/>
    <n v="0"/>
    <n v="-2611.6725799999999"/>
    <n v="-782.53713999999991"/>
    <n v="0"/>
    <n v="-3283.306464620408"/>
    <n v="-760.0209116828878"/>
  </r>
  <r>
    <s v="Regular"/>
    <x v="2"/>
    <x v="2"/>
    <x v="3"/>
    <x v="7"/>
    <x v="1"/>
    <x v="0"/>
    <x v="2"/>
    <x v="8"/>
    <n v="0"/>
    <n v="0"/>
    <n v="1.6259999999999999"/>
    <n v="1.6259999999999999"/>
    <n v="1.6259999999999999"/>
    <n v="1.6259999999999999"/>
    <n v="0"/>
    <x v="0"/>
    <n v="0"/>
    <n v="0"/>
    <n v="55"/>
    <n v="20"/>
    <n v="0"/>
    <n v="441.31"/>
    <n v="132.22999999999999"/>
    <m/>
    <n v="554.80001091929842"/>
    <n v="128.42529768213717"/>
    <n v="0"/>
    <n v="717.5700599999999"/>
    <n v="215.00597999999997"/>
    <n v="0"/>
    <n v="902.10481775477922"/>
    <n v="208.81953403115503"/>
  </r>
  <r>
    <s v="Regular"/>
    <x v="2"/>
    <x v="2"/>
    <x v="3"/>
    <x v="7"/>
    <x v="1"/>
    <x v="0"/>
    <x v="2"/>
    <x v="9"/>
    <n v="0"/>
    <n v="0"/>
    <n v="1.764"/>
    <n v="1.764"/>
    <n v="1.764"/>
    <n v="1.764"/>
    <n v="0"/>
    <x v="0"/>
    <n v="0"/>
    <n v="0"/>
    <n v="55"/>
    <n v="20"/>
    <n v="0"/>
    <n v="441.31"/>
    <n v="132.22999999999999"/>
    <m/>
    <n v="554.80001091929842"/>
    <n v="128.42529768213717"/>
    <n v="0"/>
    <n v="778.47083999999995"/>
    <n v="233.25371999999999"/>
    <n v="0"/>
    <n v="978.66721926164246"/>
    <n v="226.54222511128998"/>
  </r>
  <r>
    <s v="Regular"/>
    <x v="2"/>
    <x v="2"/>
    <x v="3"/>
    <x v="7"/>
    <x v="1"/>
    <x v="0"/>
    <x v="2"/>
    <x v="10"/>
    <n v="0"/>
    <n v="0"/>
    <n v="1.83"/>
    <n v="1.83"/>
    <n v="1.83"/>
    <n v="1.83"/>
    <n v="0"/>
    <x v="0"/>
    <n v="0"/>
    <n v="0"/>
    <n v="55"/>
    <n v="20"/>
    <n v="0"/>
    <n v="441.31"/>
    <n v="132.22999999999999"/>
    <m/>
    <n v="554.80001091929842"/>
    <n v="128.42529768213717"/>
    <n v="0"/>
    <n v="807.59730000000002"/>
    <n v="241.98089999999999"/>
    <n v="0"/>
    <n v="1015.2840199823162"/>
    <n v="235.01829475831104"/>
  </r>
  <r>
    <s v="PROJETADO"/>
    <x v="2"/>
    <x v="2"/>
    <x v="3"/>
    <x v="7"/>
    <x v="1"/>
    <x v="0"/>
    <x v="2"/>
    <x v="11"/>
    <n v="0"/>
    <n v="0"/>
    <n v="1.83"/>
    <n v="1.83"/>
    <n v="1.83"/>
    <n v="1.83"/>
    <n v="0"/>
    <x v="0"/>
    <n v="0"/>
    <n v="0"/>
    <n v="55"/>
    <n v="20"/>
    <n v="0"/>
    <n v="441.31"/>
    <n v="132.22999999999999"/>
    <m/>
    <n v="554.80001091929842"/>
    <n v="128.42529768213717"/>
    <n v="0"/>
    <n v="807.59730000000002"/>
    <n v="241.98089999999999"/>
    <n v="0"/>
    <n v="1015.2840199823162"/>
    <n v="235.01829475831104"/>
  </r>
  <r>
    <s v="Regular"/>
    <x v="2"/>
    <x v="2"/>
    <x v="3"/>
    <x v="7"/>
    <x v="2"/>
    <x v="0"/>
    <x v="2"/>
    <x v="0"/>
    <n v="0"/>
    <n v="0"/>
    <n v="0.66600000000000004"/>
    <n v="0.26640000000000003"/>
    <n v="0.66600000000000004"/>
    <n v="0.26640000000000003"/>
    <n v="0"/>
    <x v="0"/>
    <n v="0"/>
    <n v="0"/>
    <n v="55"/>
    <n v="20"/>
    <n v="0"/>
    <n v="441.31"/>
    <n v="132.22999999999999"/>
    <m/>
    <n v="554.80001091929842"/>
    <n v="128.42529768213717"/>
    <n v="0"/>
    <n v="117.56498400000001"/>
    <n v="35.226072000000002"/>
    <n v="0"/>
    <n v="147.79872290890111"/>
    <n v="34.212499302521344"/>
  </r>
  <r>
    <s v="Regular"/>
    <x v="2"/>
    <x v="2"/>
    <x v="3"/>
    <x v="7"/>
    <x v="2"/>
    <x v="0"/>
    <x v="2"/>
    <x v="1"/>
    <n v="0"/>
    <n v="0"/>
    <n v="0.73"/>
    <n v="0.29199999999999998"/>
    <n v="0.73"/>
    <n v="0.29199999999999998"/>
    <n v="0"/>
    <x v="0"/>
    <n v="0"/>
    <n v="0"/>
    <n v="55"/>
    <n v="20"/>
    <n v="0"/>
    <n v="441.31"/>
    <n v="132.22999999999999"/>
    <m/>
    <n v="554.80001091929842"/>
    <n v="128.42529768213717"/>
    <n v="0"/>
    <n v="128.86251999999999"/>
    <n v="38.611159999999998"/>
    <n v="0"/>
    <n v="162.00160318843513"/>
    <n v="37.500186923184053"/>
  </r>
  <r>
    <s v="Regular"/>
    <x v="2"/>
    <x v="2"/>
    <x v="3"/>
    <x v="7"/>
    <x v="2"/>
    <x v="0"/>
    <x v="2"/>
    <x v="2"/>
    <n v="0"/>
    <n v="0"/>
    <n v="1.7170000000000001"/>
    <n v="0.68679999999999997"/>
    <n v="1.7170000000000001"/>
    <n v="0.68679999999999997"/>
    <n v="0"/>
    <x v="0"/>
    <n v="0"/>
    <n v="0"/>
    <n v="55"/>
    <n v="20"/>
    <n v="0"/>
    <n v="441.31"/>
    <n v="132.22999999999999"/>
    <m/>
    <n v="554.80001091929842"/>
    <n v="128.42529768213717"/>
    <n v="0"/>
    <n v="303.09170799999998"/>
    <n v="90.815563999999995"/>
    <n v="0"/>
    <n v="381.03664749937411"/>
    <n v="88.202494448091798"/>
  </r>
  <r>
    <s v="Regular"/>
    <x v="2"/>
    <x v="2"/>
    <x v="3"/>
    <x v="7"/>
    <x v="2"/>
    <x v="0"/>
    <x v="2"/>
    <x v="3"/>
    <n v="0"/>
    <n v="0"/>
    <n v="2.23"/>
    <n v="0.89200000000000002"/>
    <n v="2.23"/>
    <n v="0.89200000000000002"/>
    <n v="0"/>
    <x v="0"/>
    <n v="0"/>
    <n v="0"/>
    <n v="55"/>
    <n v="20"/>
    <n v="0"/>
    <n v="441.31"/>
    <n v="132.22999999999999"/>
    <m/>
    <n v="554.80001091929842"/>
    <n v="128.42529768213717"/>
    <n v="0"/>
    <n v="393.64852000000002"/>
    <n v="117.94915999999999"/>
    <n v="0"/>
    <n v="494.8816097400142"/>
    <n v="114.55536553246635"/>
  </r>
  <r>
    <s v="Regular"/>
    <x v="2"/>
    <x v="2"/>
    <x v="3"/>
    <x v="7"/>
    <x v="2"/>
    <x v="0"/>
    <x v="2"/>
    <x v="4"/>
    <n v="0"/>
    <n v="0"/>
    <n v="0.436"/>
    <n v="0.1744"/>
    <n v="0.436"/>
    <n v="0.1744"/>
    <n v="0"/>
    <x v="0"/>
    <n v="0"/>
    <n v="0"/>
    <n v="55"/>
    <n v="20"/>
    <n v="0"/>
    <n v="441.31"/>
    <n v="132.22999999999999"/>
    <m/>
    <n v="554.80001091929842"/>
    <n v="128.42529768213717"/>
    <n v="0"/>
    <n v="76.964464000000007"/>
    <n v="23.060911999999998"/>
    <n v="0"/>
    <n v="96.757121904325643"/>
    <n v="22.397371915764722"/>
  </r>
  <r>
    <s v="Regular"/>
    <x v="2"/>
    <x v="2"/>
    <x v="3"/>
    <x v="7"/>
    <x v="2"/>
    <x v="0"/>
    <x v="2"/>
    <x v="5"/>
    <n v="0"/>
    <n v="0"/>
    <n v="1.02"/>
    <n v="0.40799999999999997"/>
    <n v="1.02"/>
    <n v="0.40799999999999997"/>
    <n v="0"/>
    <x v="0"/>
    <n v="0"/>
    <n v="0"/>
    <n v="55"/>
    <n v="20"/>
    <n v="0"/>
    <n v="441.31"/>
    <n v="132.22999999999999"/>
    <m/>
    <n v="554.80001091929842"/>
    <n v="128.42529768213717"/>
    <n v="0"/>
    <n v="180.05447999999998"/>
    <n v="53.949839999999995"/>
    <n v="0"/>
    <n v="226.35840445507375"/>
    <n v="52.397521454311963"/>
  </r>
  <r>
    <s v="Regular"/>
    <x v="2"/>
    <x v="2"/>
    <x v="3"/>
    <x v="7"/>
    <x v="2"/>
    <x v="0"/>
    <x v="2"/>
    <x v="6"/>
    <n v="0"/>
    <n v="0"/>
    <n v="0.876"/>
    <n v="0.35039999999999999"/>
    <n v="0.876"/>
    <n v="0.35039999999999999"/>
    <n v="0"/>
    <x v="0"/>
    <n v="0"/>
    <n v="0"/>
    <n v="55"/>
    <n v="20"/>
    <n v="0"/>
    <n v="441.31"/>
    <n v="132.22999999999999"/>
    <m/>
    <n v="554.80001091929842"/>
    <n v="128.42529768213717"/>
    <n v="0"/>
    <n v="154.63502399999999"/>
    <n v="46.333391999999996"/>
    <n v="0"/>
    <n v="194.40192382612216"/>
    <n v="45.000224307820865"/>
  </r>
  <r>
    <s v="Regular"/>
    <x v="2"/>
    <x v="2"/>
    <x v="3"/>
    <x v="7"/>
    <x v="2"/>
    <x v="0"/>
    <x v="2"/>
    <x v="7"/>
    <n v="0"/>
    <n v="0"/>
    <n v="0.67900000000000005"/>
    <n v="0.27160000000000001"/>
    <n v="0.67900000000000005"/>
    <n v="0.27160000000000001"/>
    <n v="0"/>
    <x v="0"/>
    <n v="0"/>
    <n v="0"/>
    <n v="55"/>
    <n v="20"/>
    <n v="0"/>
    <n v="441.31"/>
    <n v="132.22999999999999"/>
    <m/>
    <n v="554.80001091929842"/>
    <n v="128.42529768213717"/>
    <n v="0"/>
    <n v="119.859796"/>
    <n v="35.913668000000001"/>
    <n v="0"/>
    <n v="150.68368296568144"/>
    <n v="34.880310850468454"/>
  </r>
  <r>
    <s v="Regular"/>
    <x v="2"/>
    <x v="2"/>
    <x v="3"/>
    <x v="7"/>
    <x v="2"/>
    <x v="0"/>
    <x v="2"/>
    <x v="8"/>
    <n v="0"/>
    <n v="0"/>
    <n v="0.38"/>
    <n v="0.152"/>
    <n v="0.38"/>
    <n v="0.152"/>
    <n v="0"/>
    <x v="0"/>
    <n v="0"/>
    <n v="0"/>
    <n v="55"/>
    <n v="20"/>
    <n v="0"/>
    <n v="441.31"/>
    <n v="132.22999999999999"/>
    <m/>
    <n v="554.80001091929842"/>
    <n v="128.42529768213717"/>
    <n v="0"/>
    <n v="67.079120000000003"/>
    <n v="20.098959999999998"/>
    <n v="0"/>
    <n v="84.329601659733356"/>
    <n v="19.52064524768485"/>
  </r>
  <r>
    <s v="Regular"/>
    <x v="2"/>
    <x v="2"/>
    <x v="3"/>
    <x v="7"/>
    <x v="2"/>
    <x v="0"/>
    <x v="2"/>
    <x v="9"/>
    <n v="0"/>
    <n v="0"/>
    <n v="0.26900000000000002"/>
    <n v="0.1076"/>
    <n v="0.26900000000000002"/>
    <n v="0.1076"/>
    <n v="0"/>
    <x v="0"/>
    <n v="0"/>
    <n v="0"/>
    <n v="55"/>
    <n v="20"/>
    <n v="0"/>
    <n v="441.31"/>
    <n v="132.22999999999999"/>
    <m/>
    <n v="554.80001091929842"/>
    <n v="128.42529768213717"/>
    <n v="0"/>
    <n v="47.484956000000004"/>
    <n v="14.227948"/>
    <n v="0"/>
    <n v="59.696481174916514"/>
    <n v="13.81856203059796"/>
  </r>
  <r>
    <s v="Regular"/>
    <x v="2"/>
    <x v="2"/>
    <x v="3"/>
    <x v="7"/>
    <x v="2"/>
    <x v="0"/>
    <x v="2"/>
    <x v="10"/>
    <n v="0"/>
    <n v="0"/>
    <n v="0.22"/>
    <n v="8.7999999999999995E-2"/>
    <n v="0.22"/>
    <n v="8.7999999999999995E-2"/>
    <n v="0"/>
    <x v="0"/>
    <n v="0"/>
    <n v="0"/>
    <n v="55"/>
    <n v="20"/>
    <n v="0"/>
    <n v="441.31"/>
    <n v="132.22999999999999"/>
    <m/>
    <n v="554.80001091929842"/>
    <n v="128.42529768213717"/>
    <n v="0"/>
    <n v="38.835279999999997"/>
    <n v="11.636239999999999"/>
    <n v="0"/>
    <n v="48.822400960898257"/>
    <n v="11.30142619602807"/>
  </r>
  <r>
    <s v="PROJETADO"/>
    <x v="2"/>
    <x v="2"/>
    <x v="3"/>
    <x v="7"/>
    <x v="2"/>
    <x v="0"/>
    <x v="2"/>
    <x v="11"/>
    <n v="0"/>
    <n v="0"/>
    <n v="0.22"/>
    <n v="8.7999999999999995E-2"/>
    <n v="0.22"/>
    <n v="8.7999999999999995E-2"/>
    <n v="0"/>
    <x v="0"/>
    <n v="0"/>
    <n v="0"/>
    <n v="55"/>
    <n v="20"/>
    <n v="0"/>
    <n v="441.31"/>
    <n v="132.22999999999999"/>
    <m/>
    <n v="554.80001091929842"/>
    <n v="128.42529768213717"/>
    <n v="0"/>
    <n v="38.835279999999997"/>
    <n v="11.636239999999999"/>
    <n v="0"/>
    <n v="48.822400960898257"/>
    <n v="11.30142619602807"/>
  </r>
  <r>
    <s v="Regular"/>
    <x v="2"/>
    <x v="2"/>
    <x v="3"/>
    <x v="0"/>
    <x v="0"/>
    <x v="0"/>
    <x v="2"/>
    <x v="0"/>
    <n v="0"/>
    <n v="0"/>
    <n v="244.33500000000001"/>
    <n v="244.33500000000001"/>
    <n v="244.33500000000001"/>
    <n v="244.33500000000001"/>
    <n v="760"/>
    <x v="0"/>
    <n v="0"/>
    <n v="0"/>
    <n v="55"/>
    <n v="20"/>
    <n v="0"/>
    <n v="441.31"/>
    <n v="132.22999999999999"/>
    <m/>
    <n v="554.80001091929842"/>
    <n v="128.42529768213717"/>
    <n v="0"/>
    <n v="107827.47885"/>
    <n v="32308.41705"/>
    <n v="0"/>
    <n v="135557.06066796678"/>
    <n v="31378.795109164985"/>
  </r>
  <r>
    <s v="Sistema de Compensação"/>
    <x v="2"/>
    <x v="2"/>
    <x v="3"/>
    <x v="0"/>
    <x v="0"/>
    <x v="0"/>
    <x v="2"/>
    <x v="0"/>
    <n v="0"/>
    <n v="0"/>
    <n v="0.54800000000000004"/>
    <n v="0.54800000000000004"/>
    <n v="0.54800000000000004"/>
    <n v="0.54800000000000004"/>
    <n v="4"/>
    <x v="0"/>
    <n v="0"/>
    <n v="0"/>
    <n v="55"/>
    <n v="20"/>
    <n v="0"/>
    <n v="441.31"/>
    <n v="132.22999999999999"/>
    <m/>
    <n v="554.80001091929842"/>
    <n v="128.42529768213717"/>
    <n v="0"/>
    <n v="241.83788000000001"/>
    <n v="72.462040000000002"/>
    <n v="0"/>
    <n v="304.03040598377555"/>
    <n v="70.377063129811177"/>
  </r>
  <r>
    <s v="Regular"/>
    <x v="2"/>
    <x v="2"/>
    <x v="3"/>
    <x v="0"/>
    <x v="0"/>
    <x v="0"/>
    <x v="2"/>
    <x v="1"/>
    <n v="0"/>
    <n v="0"/>
    <n v="303.26799999999997"/>
    <n v="303.26799999999997"/>
    <n v="303.26799999999997"/>
    <n v="303.26799999999997"/>
    <n v="764"/>
    <x v="0"/>
    <n v="0"/>
    <n v="0"/>
    <n v="55"/>
    <n v="20"/>
    <n v="0"/>
    <n v="441.31"/>
    <n v="132.22999999999999"/>
    <m/>
    <n v="554.80001091929842"/>
    <n v="128.42529768213717"/>
    <n v="0"/>
    <n v="133835.20108"/>
    <n v="40101.127639999992"/>
    <n v="0"/>
    <n v="168253.08971147379"/>
    <n v="38947.283177466372"/>
  </r>
  <r>
    <s v="Refaturamento - Regular"/>
    <x v="2"/>
    <x v="2"/>
    <x v="3"/>
    <x v="0"/>
    <x v="0"/>
    <x v="0"/>
    <x v="2"/>
    <x v="1"/>
    <n v="0"/>
    <n v="0"/>
    <n v="-1"/>
    <n v="-1"/>
    <n v="-1"/>
    <n v="-1"/>
    <n v="0"/>
    <x v="0"/>
    <n v="0"/>
    <n v="0"/>
    <n v="55"/>
    <n v="20"/>
    <n v="0"/>
    <n v="441.31"/>
    <n v="132.22999999999999"/>
    <m/>
    <n v="554.80001091929842"/>
    <n v="128.42529768213717"/>
    <n v="0"/>
    <n v="-441.31"/>
    <n v="-132.22999999999999"/>
    <n v="0"/>
    <n v="-554.80001091929842"/>
    <n v="-128.42529768213717"/>
  </r>
  <r>
    <s v="Sistema de Compensação"/>
    <x v="2"/>
    <x v="2"/>
    <x v="3"/>
    <x v="0"/>
    <x v="0"/>
    <x v="0"/>
    <x v="2"/>
    <x v="1"/>
    <n v="0"/>
    <n v="0"/>
    <n v="0.56699999999999995"/>
    <n v="0.56699999999999995"/>
    <n v="0.56699999999999995"/>
    <n v="0.56699999999999995"/>
    <n v="4"/>
    <x v="0"/>
    <n v="0"/>
    <n v="0"/>
    <n v="55"/>
    <n v="20"/>
    <n v="0"/>
    <n v="441.31"/>
    <n v="132.22999999999999"/>
    <m/>
    <n v="554.80001091929842"/>
    <n v="128.42529768213717"/>
    <n v="0"/>
    <n v="250.22276999999997"/>
    <n v="74.974409999999992"/>
    <n v="0"/>
    <n v="314.57160619124215"/>
    <n v="72.817143785771762"/>
  </r>
  <r>
    <s v="Regular"/>
    <x v="2"/>
    <x v="2"/>
    <x v="3"/>
    <x v="0"/>
    <x v="0"/>
    <x v="0"/>
    <x v="2"/>
    <x v="2"/>
    <n v="0"/>
    <n v="0"/>
    <n v="335.06099999999998"/>
    <n v="335.06099999999998"/>
    <n v="335.06099999999998"/>
    <n v="335.06099999999998"/>
    <n v="764"/>
    <x v="0"/>
    <n v="0"/>
    <n v="0"/>
    <n v="55"/>
    <n v="20"/>
    <n v="0"/>
    <n v="441.31"/>
    <n v="132.22999999999999"/>
    <m/>
    <n v="554.80001091929842"/>
    <n v="128.42529768213717"/>
    <n v="0"/>
    <n v="147865.76991"/>
    <n v="44305.11602999999"/>
    <n v="0"/>
    <n v="185891.84645863104"/>
    <n v="43030.308666674558"/>
  </r>
  <r>
    <s v="Refaturamento - Regular"/>
    <x v="2"/>
    <x v="2"/>
    <x v="3"/>
    <x v="0"/>
    <x v="0"/>
    <x v="0"/>
    <x v="2"/>
    <x v="2"/>
    <n v="0"/>
    <n v="0"/>
    <n v="-1.5720000000000001"/>
    <n v="-1.5720000000000001"/>
    <n v="-1.5720000000000001"/>
    <n v="-1.5720000000000001"/>
    <n v="0"/>
    <x v="0"/>
    <n v="0"/>
    <n v="0"/>
    <n v="55"/>
    <n v="20"/>
    <n v="0"/>
    <n v="441.31"/>
    <n v="132.22999999999999"/>
    <m/>
    <n v="554.80001091929842"/>
    <n v="128.42529768213717"/>
    <n v="0"/>
    <n v="-693.73932000000002"/>
    <n v="-207.86555999999999"/>
    <n v="0"/>
    <n v="-872.1456171651372"/>
    <n v="-201.88456795631964"/>
  </r>
  <r>
    <s v="Sistema de Compensação"/>
    <x v="2"/>
    <x v="2"/>
    <x v="3"/>
    <x v="0"/>
    <x v="0"/>
    <x v="0"/>
    <x v="2"/>
    <x v="2"/>
    <n v="0"/>
    <n v="0"/>
    <n v="1.4790000000000001"/>
    <n v="1.4790000000000001"/>
    <n v="1.4790000000000001"/>
    <n v="1.4790000000000001"/>
    <n v="6"/>
    <x v="0"/>
    <n v="0"/>
    <n v="0"/>
    <n v="55"/>
    <n v="20"/>
    <n v="0"/>
    <n v="441.31"/>
    <n v="132.22999999999999"/>
    <m/>
    <n v="554.80001091929842"/>
    <n v="128.42529768213717"/>
    <n v="0"/>
    <n v="652.69749000000002"/>
    <n v="195.56817000000001"/>
    <n v="0"/>
    <n v="820.54921614964246"/>
    <n v="189.9410152718809"/>
  </r>
  <r>
    <s v="Regular"/>
    <x v="2"/>
    <x v="2"/>
    <x v="3"/>
    <x v="0"/>
    <x v="0"/>
    <x v="0"/>
    <x v="2"/>
    <x v="3"/>
    <n v="0"/>
    <n v="0"/>
    <n v="319.11"/>
    <n v="319.11"/>
    <n v="319.11"/>
    <n v="319.11"/>
    <n v="762"/>
    <x v="0"/>
    <n v="0"/>
    <n v="0"/>
    <n v="55"/>
    <n v="20"/>
    <n v="0"/>
    <n v="441.31"/>
    <n v="132.22999999999999"/>
    <m/>
    <n v="554.80001091929842"/>
    <n v="128.42529768213717"/>
    <n v="0"/>
    <n v="140826.43410000001"/>
    <n v="42195.915300000001"/>
    <n v="0"/>
    <n v="177042.23148445733"/>
    <n v="40981.796743346793"/>
  </r>
  <r>
    <s v="Refaturamento - Regular"/>
    <x v="2"/>
    <x v="2"/>
    <x v="3"/>
    <x v="0"/>
    <x v="0"/>
    <x v="0"/>
    <x v="2"/>
    <x v="3"/>
    <n v="0"/>
    <n v="0"/>
    <n v="-0.13400000000000001"/>
    <n v="-0.13400000000000001"/>
    <n v="-0.13400000000000001"/>
    <n v="-0.13400000000000001"/>
    <n v="0"/>
    <x v="0"/>
    <n v="0"/>
    <n v="0"/>
    <n v="55"/>
    <n v="20"/>
    <n v="0"/>
    <n v="441.31"/>
    <n v="132.22999999999999"/>
    <m/>
    <n v="554.80001091929842"/>
    <n v="128.42529768213717"/>
    <n v="0"/>
    <n v="-59.135540000000006"/>
    <n v="-17.718820000000001"/>
    <n v="0"/>
    <n v="-74.343201463185991"/>
    <n v="-17.208989889406382"/>
  </r>
  <r>
    <s v="Sistema de Compensação"/>
    <x v="2"/>
    <x v="2"/>
    <x v="3"/>
    <x v="0"/>
    <x v="0"/>
    <x v="0"/>
    <x v="2"/>
    <x v="3"/>
    <n v="0"/>
    <n v="0"/>
    <n v="2.0459999999999998"/>
    <n v="2.0459999999999998"/>
    <n v="2.0459999999999998"/>
    <n v="2.0459999999999998"/>
    <n v="8"/>
    <x v="0"/>
    <n v="0"/>
    <n v="0"/>
    <n v="55"/>
    <n v="20"/>
    <n v="0"/>
    <n v="441.31"/>
    <n v="132.22999999999999"/>
    <m/>
    <n v="554.80001091929842"/>
    <n v="128.42529768213717"/>
    <n v="0"/>
    <n v="902.92025999999987"/>
    <n v="270.54257999999993"/>
    <n v="0"/>
    <n v="1135.1208223408844"/>
    <n v="262.75815905765262"/>
  </r>
  <r>
    <s v="Regular"/>
    <x v="2"/>
    <x v="2"/>
    <x v="3"/>
    <x v="0"/>
    <x v="0"/>
    <x v="0"/>
    <x v="2"/>
    <x v="4"/>
    <n v="0"/>
    <n v="0"/>
    <n v="318.49099999999999"/>
    <n v="318.49099999999999"/>
    <n v="318.49099999999999"/>
    <n v="318.49099999999999"/>
    <n v="759"/>
    <x v="0"/>
    <n v="0"/>
    <n v="0"/>
    <n v="55"/>
    <n v="20"/>
    <n v="0"/>
    <n v="441.31"/>
    <n v="132.22999999999999"/>
    <m/>
    <n v="554.80001091929842"/>
    <n v="128.42529768213717"/>
    <n v="0"/>
    <n v="140553.26321"/>
    <n v="42114.064929999993"/>
    <n v="0"/>
    <n v="176698.81027769827"/>
    <n v="40902.301484081545"/>
  </r>
  <r>
    <s v="Sistema de Compensação"/>
    <x v="2"/>
    <x v="2"/>
    <x v="3"/>
    <x v="0"/>
    <x v="0"/>
    <x v="0"/>
    <x v="2"/>
    <x v="4"/>
    <n v="0"/>
    <n v="0"/>
    <n v="3.1779999999999999"/>
    <n v="3.1779999999999999"/>
    <n v="3.1779999999999999"/>
    <n v="3.1779999999999999"/>
    <n v="10"/>
    <x v="0"/>
    <n v="0"/>
    <n v="0"/>
    <n v="55"/>
    <n v="20"/>
    <n v="0"/>
    <n v="441.31"/>
    <n v="132.22999999999999"/>
    <m/>
    <n v="554.80001091929842"/>
    <n v="128.42529768213717"/>
    <n v="0"/>
    <n v="1402.4831799999999"/>
    <n v="420.22693999999996"/>
    <n v="0"/>
    <n v="1763.1544347015304"/>
    <n v="408.13559603383192"/>
  </r>
  <r>
    <s v="Regular"/>
    <x v="2"/>
    <x v="2"/>
    <x v="3"/>
    <x v="0"/>
    <x v="0"/>
    <x v="0"/>
    <x v="2"/>
    <x v="5"/>
    <n v="0"/>
    <n v="0"/>
    <n v="268.94799999999998"/>
    <n v="268.94799999999998"/>
    <n v="268.94799999999998"/>
    <n v="268.94799999999998"/>
    <n v="755"/>
    <x v="0"/>
    <n v="0"/>
    <n v="0"/>
    <n v="55"/>
    <n v="20"/>
    <n v="0"/>
    <n v="441.31"/>
    <n v="132.22999999999999"/>
    <m/>
    <n v="554.80001091929842"/>
    <n v="128.42529768213717"/>
    <n v="0"/>
    <n v="118689.44188"/>
    <n v="35562.994039999998"/>
    <n v="0"/>
    <n v="149212.35333672346"/>
    <n v="34539.726961015425"/>
  </r>
  <r>
    <s v="Refaturamento - Regular"/>
    <x v="2"/>
    <x v="2"/>
    <x v="3"/>
    <x v="0"/>
    <x v="0"/>
    <x v="0"/>
    <x v="2"/>
    <x v="5"/>
    <n v="0"/>
    <n v="0"/>
    <n v="-0.13300000000000001"/>
    <n v="-0.13300000000000001"/>
    <n v="-0.13300000000000001"/>
    <n v="-0.13300000000000001"/>
    <n v="0"/>
    <x v="0"/>
    <n v="0"/>
    <n v="0"/>
    <n v="55"/>
    <n v="20"/>
    <n v="0"/>
    <n v="441.31"/>
    <n v="132.22999999999999"/>
    <m/>
    <n v="554.80001091929842"/>
    <n v="128.42529768213717"/>
    <n v="0"/>
    <n v="-58.694230000000005"/>
    <n v="-17.586590000000001"/>
    <n v="0"/>
    <n v="-73.788401452266697"/>
    <n v="-17.080564591724244"/>
  </r>
  <r>
    <s v="Sistema de Compensação"/>
    <x v="2"/>
    <x v="2"/>
    <x v="3"/>
    <x v="0"/>
    <x v="0"/>
    <x v="0"/>
    <x v="2"/>
    <x v="5"/>
    <n v="0"/>
    <n v="0"/>
    <n v="1.24"/>
    <n v="1.24"/>
    <n v="1.24"/>
    <n v="1.24"/>
    <n v="10"/>
    <x v="0"/>
    <n v="0"/>
    <n v="0"/>
    <n v="55"/>
    <n v="20"/>
    <n v="0"/>
    <n v="441.31"/>
    <n v="132.22999999999999"/>
    <m/>
    <n v="554.80001091929842"/>
    <n v="128.42529768213717"/>
    <n v="0"/>
    <n v="547.22439999999995"/>
    <n v="163.96519999999998"/>
    <n v="0"/>
    <n v="687.95201353993002"/>
    <n v="159.2473691258501"/>
  </r>
  <r>
    <s v="Regular"/>
    <x v="2"/>
    <x v="2"/>
    <x v="3"/>
    <x v="0"/>
    <x v="0"/>
    <x v="0"/>
    <x v="2"/>
    <x v="6"/>
    <n v="0"/>
    <n v="0"/>
    <n v="247.32499999999999"/>
    <n v="247.32499999999999"/>
    <n v="247.32499999999999"/>
    <n v="247.32499999999999"/>
    <n v="753"/>
    <x v="0"/>
    <n v="0"/>
    <n v="0"/>
    <n v="55"/>
    <n v="20"/>
    <n v="0"/>
    <n v="441.31"/>
    <n v="132.22999999999999"/>
    <m/>
    <n v="554.80001091929842"/>
    <n v="128.42529768213717"/>
    <n v="0"/>
    <n v="109146.99575"/>
    <n v="32703.784749999995"/>
    <n v="0"/>
    <n v="137215.91270061547"/>
    <n v="31762.786749234576"/>
  </r>
  <r>
    <s v="Refaturamento - Regular"/>
    <x v="2"/>
    <x v="2"/>
    <x v="3"/>
    <x v="0"/>
    <x v="0"/>
    <x v="0"/>
    <x v="2"/>
    <x v="6"/>
    <n v="0"/>
    <n v="0"/>
    <n v="-0.27300000000000002"/>
    <n v="-0.27300000000000002"/>
    <n v="-0.27300000000000002"/>
    <n v="-0.27300000000000002"/>
    <n v="0"/>
    <x v="0"/>
    <n v="0"/>
    <n v="0"/>
    <n v="55"/>
    <n v="20"/>
    <n v="0"/>
    <n v="441.31"/>
    <n v="132.22999999999999"/>
    <m/>
    <n v="554.80001091929842"/>
    <n v="128.42529768213717"/>
    <n v="0"/>
    <n v="-120.47763"/>
    <n v="-36.098790000000001"/>
    <n v="0"/>
    <n v="-151.46040298096847"/>
    <n v="-35.060106267223453"/>
  </r>
  <r>
    <s v="Sistema de Compensação"/>
    <x v="2"/>
    <x v="2"/>
    <x v="3"/>
    <x v="0"/>
    <x v="0"/>
    <x v="0"/>
    <x v="2"/>
    <x v="6"/>
    <n v="0"/>
    <n v="0"/>
    <n v="4.9139999999999997"/>
    <n v="4.9139999999999997"/>
    <n v="4.9139999999999997"/>
    <n v="4.9139999999999997"/>
    <n v="12"/>
    <x v="0"/>
    <n v="0"/>
    <n v="0"/>
    <n v="55"/>
    <n v="20"/>
    <n v="0"/>
    <n v="441.31"/>
    <n v="132.22999999999999"/>
    <m/>
    <n v="554.80001091929842"/>
    <n v="128.42529768213717"/>
    <n v="0"/>
    <n v="2168.5973399999998"/>
    <n v="649.77821999999992"/>
    <n v="0"/>
    <n v="2726.2872536574323"/>
    <n v="631.081912810022"/>
  </r>
  <r>
    <s v="Regular"/>
    <x v="2"/>
    <x v="2"/>
    <x v="3"/>
    <x v="0"/>
    <x v="0"/>
    <x v="0"/>
    <x v="2"/>
    <x v="7"/>
    <n v="0"/>
    <n v="0"/>
    <n v="226.661"/>
    <n v="226.661"/>
    <n v="226.661"/>
    <n v="226.661"/>
    <n v="756"/>
    <x v="0"/>
    <n v="0"/>
    <n v="0"/>
    <n v="55"/>
    <n v="20"/>
    <n v="0"/>
    <n v="441.31"/>
    <n v="132.22999999999999"/>
    <m/>
    <n v="554.80001091929842"/>
    <n v="128.42529768213717"/>
    <n v="0"/>
    <n v="100027.76591"/>
    <n v="29971.384029999997"/>
    <n v="0"/>
    <n v="125751.5252749791"/>
    <n v="29109.006397930894"/>
  </r>
  <r>
    <s v="Refaturamento - Regular"/>
    <x v="2"/>
    <x v="2"/>
    <x v="3"/>
    <x v="0"/>
    <x v="0"/>
    <x v="0"/>
    <x v="2"/>
    <x v="7"/>
    <n v="0"/>
    <n v="0"/>
    <n v="-0.55200000000000005"/>
    <n v="-0.55200000000000005"/>
    <n v="-0.55200000000000005"/>
    <n v="-0.55200000000000005"/>
    <n v="0"/>
    <x v="0"/>
    <n v="0"/>
    <n v="0"/>
    <n v="55"/>
    <n v="20"/>
    <n v="0"/>
    <n v="441.31"/>
    <n v="132.22999999999999"/>
    <m/>
    <n v="554.80001091929842"/>
    <n v="128.42529768213717"/>
    <n v="0"/>
    <n v="-243.60312000000002"/>
    <n v="-72.990960000000001"/>
    <n v="0"/>
    <n v="-306.24960602745273"/>
    <n v="-70.890764320539731"/>
  </r>
  <r>
    <s v="Sistema de Compensação"/>
    <x v="2"/>
    <x v="2"/>
    <x v="3"/>
    <x v="0"/>
    <x v="0"/>
    <x v="0"/>
    <x v="2"/>
    <x v="7"/>
    <n v="0"/>
    <n v="0"/>
    <n v="4.5819999999999999"/>
    <n v="4.5819999999999999"/>
    <n v="4.5819999999999999"/>
    <n v="4.5819999999999999"/>
    <n v="12"/>
    <x v="0"/>
    <n v="0"/>
    <n v="0"/>
    <n v="55"/>
    <n v="20"/>
    <n v="0"/>
    <n v="441.31"/>
    <n v="132.22999999999999"/>
    <m/>
    <n v="554.80001091929842"/>
    <n v="128.42529768213717"/>
    <n v="0"/>
    <n v="2022.08242"/>
    <n v="605.87785999999994"/>
    <n v="0"/>
    <n v="2542.0936500322255"/>
    <n v="588.44471397955249"/>
  </r>
  <r>
    <s v="Regular"/>
    <x v="2"/>
    <x v="2"/>
    <x v="3"/>
    <x v="0"/>
    <x v="0"/>
    <x v="0"/>
    <x v="2"/>
    <x v="8"/>
    <n v="0"/>
    <n v="0"/>
    <n v="212.1"/>
    <n v="212.1"/>
    <n v="212.1"/>
    <n v="212.1"/>
    <n v="756"/>
    <x v="0"/>
    <n v="0"/>
    <n v="0"/>
    <n v="55"/>
    <n v="20"/>
    <n v="0"/>
    <n v="441.31"/>
    <n v="132.22999999999999"/>
    <m/>
    <n v="554.80001091929842"/>
    <n v="128.42529768213717"/>
    <n v="0"/>
    <n v="93601.850999999995"/>
    <n v="28045.982999999997"/>
    <n v="0"/>
    <n v="117673.08231598319"/>
    <n v="27239.005638381292"/>
  </r>
  <r>
    <s v="Refaturamento - Regular"/>
    <x v="2"/>
    <x v="2"/>
    <x v="3"/>
    <x v="0"/>
    <x v="0"/>
    <x v="0"/>
    <x v="2"/>
    <x v="8"/>
    <n v="0"/>
    <n v="0"/>
    <n v="-0.55500000000000005"/>
    <n v="-0.55500000000000005"/>
    <n v="-0.55500000000000005"/>
    <n v="-0.55500000000000005"/>
    <n v="0"/>
    <x v="0"/>
    <n v="0"/>
    <n v="0"/>
    <n v="55"/>
    <n v="20"/>
    <n v="0"/>
    <n v="441.31"/>
    <n v="132.22999999999999"/>
    <m/>
    <n v="554.80001091929842"/>
    <n v="128.42529768213717"/>
    <n v="0"/>
    <n v="-244.92705000000004"/>
    <n v="-73.387650000000008"/>
    <n v="0"/>
    <n v="-307.91400606021062"/>
    <n v="-71.276040213586143"/>
  </r>
  <r>
    <s v="Sistema de Compensação"/>
    <x v="2"/>
    <x v="2"/>
    <x v="3"/>
    <x v="0"/>
    <x v="0"/>
    <x v="0"/>
    <x v="2"/>
    <x v="8"/>
    <n v="0"/>
    <n v="0"/>
    <n v="3.8839999999999999"/>
    <n v="3.8839999999999999"/>
    <n v="3.8839999999999999"/>
    <n v="3.8839999999999999"/>
    <n v="12"/>
    <x v="0"/>
    <n v="0"/>
    <n v="0"/>
    <n v="55"/>
    <n v="20"/>
    <n v="0"/>
    <n v="441.31"/>
    <n v="132.22999999999999"/>
    <m/>
    <n v="554.80001091929842"/>
    <n v="128.42529768213717"/>
    <n v="0"/>
    <n v="1714.0480399999999"/>
    <n v="513.58131999999989"/>
    <n v="0"/>
    <n v="2154.8432424105549"/>
    <n v="498.80385619742077"/>
  </r>
  <r>
    <s v="Regular"/>
    <x v="2"/>
    <x v="2"/>
    <x v="3"/>
    <x v="0"/>
    <x v="0"/>
    <x v="0"/>
    <x v="2"/>
    <x v="9"/>
    <n v="0"/>
    <n v="0"/>
    <n v="228.16300000000001"/>
    <n v="228.16300000000001"/>
    <n v="228.16300000000001"/>
    <n v="228.16300000000001"/>
    <n v="756"/>
    <x v="0"/>
    <n v="0"/>
    <n v="0"/>
    <n v="55"/>
    <n v="20"/>
    <n v="0"/>
    <n v="441.31"/>
    <n v="132.22999999999999"/>
    <m/>
    <n v="554.80001091929842"/>
    <n v="128.42529768213717"/>
    <n v="0"/>
    <n v="100690.61353"/>
    <n v="30169.993490000001"/>
    <n v="0"/>
    <n v="126584.83489137988"/>
    <n v="29301.901195049464"/>
  </r>
  <r>
    <s v="Refaturamento - Regular"/>
    <x v="2"/>
    <x v="2"/>
    <x v="3"/>
    <x v="0"/>
    <x v="0"/>
    <x v="0"/>
    <x v="2"/>
    <x v="9"/>
    <n v="0"/>
    <n v="0"/>
    <n v="-0.50800000000000001"/>
    <n v="-0.50800000000000001"/>
    <n v="-0.50800000000000001"/>
    <n v="-0.50800000000000001"/>
    <n v="0"/>
    <x v="0"/>
    <n v="0"/>
    <n v="0"/>
    <n v="55"/>
    <n v="20"/>
    <n v="0"/>
    <n v="441.31"/>
    <n v="132.22999999999999"/>
    <m/>
    <n v="554.80001091929842"/>
    <n v="128.42529768213717"/>
    <n v="0"/>
    <n v="-224.18548000000001"/>
    <n v="-67.172839999999994"/>
    <n v="0"/>
    <n v="-281.83840554700362"/>
    <n v="-65.240051222525679"/>
  </r>
  <r>
    <s v="Sistema de Compensação"/>
    <x v="2"/>
    <x v="2"/>
    <x v="3"/>
    <x v="0"/>
    <x v="0"/>
    <x v="0"/>
    <x v="2"/>
    <x v="9"/>
    <n v="0"/>
    <n v="0"/>
    <n v="5.6390000000000002"/>
    <n v="5.6390000000000002"/>
    <n v="5.6390000000000002"/>
    <n v="5.6390000000000002"/>
    <n v="12"/>
    <x v="0"/>
    <n v="0"/>
    <n v="0"/>
    <n v="55"/>
    <n v="20"/>
    <n v="0"/>
    <n v="441.31"/>
    <n v="132.22999999999999"/>
    <m/>
    <n v="554.80001091929842"/>
    <n v="128.42529768213717"/>
    <n v="0"/>
    <n v="2488.54709"/>
    <n v="745.64496999999994"/>
    <n v="0"/>
    <n v="3128.5172615739239"/>
    <n v="724.19025362957154"/>
  </r>
  <r>
    <s v="Regular"/>
    <x v="2"/>
    <x v="2"/>
    <x v="3"/>
    <x v="0"/>
    <x v="0"/>
    <x v="0"/>
    <x v="2"/>
    <x v="10"/>
    <n v="0"/>
    <n v="0"/>
    <n v="214.50700000000001"/>
    <n v="214.50700000000001"/>
    <n v="214.50700000000001"/>
    <n v="214.50700000000001"/>
    <n v="750"/>
    <x v="0"/>
    <n v="0"/>
    <n v="0"/>
    <n v="55"/>
    <n v="20"/>
    <n v="0"/>
    <n v="441.31"/>
    <n v="132.22999999999999"/>
    <m/>
    <n v="554.80001091929842"/>
    <n v="128.42529768213717"/>
    <n v="0"/>
    <n v="94664.084170000002"/>
    <n v="28364.260609999998"/>
    <n v="0"/>
    <n v="119008.48594226595"/>
    <n v="27548.125329902199"/>
  </r>
  <r>
    <s v="Sistema de Compensação"/>
    <x v="2"/>
    <x v="2"/>
    <x v="3"/>
    <x v="0"/>
    <x v="0"/>
    <x v="0"/>
    <x v="2"/>
    <x v="10"/>
    <n v="0"/>
    <n v="0"/>
    <n v="5.5209999999999999"/>
    <n v="5.5209999999999999"/>
    <n v="5.5209999999999999"/>
    <n v="5.5209999999999999"/>
    <n v="12"/>
    <x v="0"/>
    <n v="0"/>
    <n v="0"/>
    <n v="55"/>
    <n v="20"/>
    <n v="0"/>
    <n v="441.31"/>
    <n v="132.22999999999999"/>
    <m/>
    <n v="554.80001091929842"/>
    <n v="128.42529768213717"/>
    <n v="0"/>
    <n v="2436.4725100000001"/>
    <n v="730.04182999999989"/>
    <n v="0"/>
    <n v="3063.0508602854466"/>
    <n v="709.03606850307926"/>
  </r>
  <r>
    <s v="PROJETADO"/>
    <x v="2"/>
    <x v="2"/>
    <x v="3"/>
    <x v="0"/>
    <x v="0"/>
    <x v="0"/>
    <x v="2"/>
    <x v="11"/>
    <n v="0"/>
    <n v="0"/>
    <n v="214.50700000000001"/>
    <n v="214.50700000000001"/>
    <n v="214.50700000000001"/>
    <n v="214.50700000000001"/>
    <n v="750"/>
    <x v="0"/>
    <n v="0"/>
    <n v="0"/>
    <n v="55"/>
    <n v="20"/>
    <n v="0"/>
    <n v="441.31"/>
    <n v="132.22999999999999"/>
    <m/>
    <n v="554.80001091929842"/>
    <n v="128.42529768213717"/>
    <n v="0"/>
    <n v="94664.084170000002"/>
    <n v="28364.260609999998"/>
    <n v="0"/>
    <n v="119008.48594226595"/>
    <n v="27548.125329902199"/>
  </r>
  <r>
    <s v="PROJETADO"/>
    <x v="2"/>
    <x v="2"/>
    <x v="3"/>
    <x v="0"/>
    <x v="0"/>
    <x v="0"/>
    <x v="2"/>
    <x v="11"/>
    <n v="0"/>
    <n v="0"/>
    <n v="5.5209999999999999"/>
    <n v="5.5209999999999999"/>
    <n v="5.5209999999999999"/>
    <n v="5.5209999999999999"/>
    <n v="12"/>
    <x v="0"/>
    <n v="0"/>
    <n v="0"/>
    <n v="55"/>
    <n v="20"/>
    <n v="0"/>
    <n v="441.31"/>
    <n v="132.22999999999999"/>
    <m/>
    <n v="554.80001091929842"/>
    <n v="128.42529768213717"/>
    <n v="0"/>
    <n v="2436.4725100000001"/>
    <n v="730.04182999999989"/>
    <n v="0"/>
    <n v="3063.0508602854466"/>
    <n v="709.03606850307926"/>
  </r>
  <r>
    <s v="Regular"/>
    <x v="3"/>
    <x v="3"/>
    <x v="1"/>
    <x v="0"/>
    <x v="0"/>
    <x v="0"/>
    <x v="0"/>
    <x v="0"/>
    <n v="0"/>
    <n v="0"/>
    <n v="7.0810000000000004"/>
    <n v="7.0810000000000004"/>
    <n v="7.0810000000000004"/>
    <n v="7.0810000000000004"/>
    <n v="0"/>
    <x v="0"/>
    <n v="0"/>
    <n v="0"/>
    <n v="59"/>
    <n v="2"/>
    <n v="0"/>
    <n v="370.31"/>
    <n v="150.26"/>
    <m/>
    <n v="438.41907129175127"/>
    <n v="136.62265710865657"/>
    <n v="0"/>
    <n v="2622.1651100000004"/>
    <n v="1063.9910600000001"/>
    <n v="0"/>
    <n v="3104.4454438168909"/>
    <n v="967.42503498639724"/>
  </r>
  <r>
    <s v="Regular"/>
    <x v="3"/>
    <x v="3"/>
    <x v="1"/>
    <x v="0"/>
    <x v="0"/>
    <x v="0"/>
    <x v="0"/>
    <x v="1"/>
    <n v="0"/>
    <n v="0"/>
    <n v="5.37"/>
    <n v="5.37"/>
    <n v="5.37"/>
    <n v="5.37"/>
    <n v="0"/>
    <x v="0"/>
    <n v="0"/>
    <n v="0"/>
    <n v="59"/>
    <n v="2"/>
    <n v="0"/>
    <n v="370.31"/>
    <n v="150.26"/>
    <m/>
    <n v="438.41907129175127"/>
    <n v="136.62265710865657"/>
    <n v="0"/>
    <n v="1988.5647000000001"/>
    <n v="806.89620000000002"/>
    <n v="0"/>
    <n v="2354.3104128367045"/>
    <n v="733.66366867348574"/>
  </r>
  <r>
    <s v="Regular"/>
    <x v="3"/>
    <x v="3"/>
    <x v="1"/>
    <x v="0"/>
    <x v="0"/>
    <x v="0"/>
    <x v="0"/>
    <x v="2"/>
    <n v="0"/>
    <n v="0"/>
    <n v="5.657"/>
    <n v="5.657"/>
    <n v="5.657"/>
    <n v="5.657"/>
    <n v="0"/>
    <x v="0"/>
    <n v="0"/>
    <n v="0"/>
    <n v="59"/>
    <n v="2"/>
    <n v="0"/>
    <n v="370.31"/>
    <n v="150.26"/>
    <m/>
    <n v="438.41907129175127"/>
    <n v="136.62265710865657"/>
    <n v="0"/>
    <n v="2094.8436700000002"/>
    <n v="850.02081999999996"/>
    <n v="0"/>
    <n v="2480.1366862974369"/>
    <n v="772.87437126367024"/>
  </r>
  <r>
    <s v="Regular"/>
    <x v="3"/>
    <x v="3"/>
    <x v="1"/>
    <x v="0"/>
    <x v="0"/>
    <x v="0"/>
    <x v="0"/>
    <x v="3"/>
    <n v="0"/>
    <n v="0"/>
    <n v="9.1059999999999999"/>
    <n v="9.1059999999999999"/>
    <n v="9.1059999999999999"/>
    <n v="9.1059999999999999"/>
    <n v="0"/>
    <x v="0"/>
    <n v="0"/>
    <n v="0"/>
    <n v="59"/>
    <n v="2"/>
    <n v="0"/>
    <n v="370.31"/>
    <n v="150.26"/>
    <m/>
    <n v="438.41907129175127"/>
    <n v="136.62265710865657"/>
    <n v="0"/>
    <n v="3372.04286"/>
    <n v="1368.26756"/>
    <n v="0"/>
    <n v="3992.2440631826871"/>
    <n v="1244.0859156314266"/>
  </r>
  <r>
    <s v="Regular"/>
    <x v="3"/>
    <x v="3"/>
    <x v="1"/>
    <x v="0"/>
    <x v="0"/>
    <x v="0"/>
    <x v="0"/>
    <x v="4"/>
    <n v="0"/>
    <n v="0"/>
    <n v="8.2840000000000007"/>
    <n v="8.2840000000000007"/>
    <n v="8.2840000000000007"/>
    <n v="8.2840000000000007"/>
    <n v="0"/>
    <x v="0"/>
    <n v="0"/>
    <n v="0"/>
    <n v="59"/>
    <n v="2"/>
    <n v="0"/>
    <n v="370.31"/>
    <n v="150.26"/>
    <m/>
    <n v="438.41907129175127"/>
    <n v="136.62265710865657"/>
    <n v="0"/>
    <n v="3067.6480400000005"/>
    <n v="1244.7538400000001"/>
    <n v="0"/>
    <n v="3631.8635865808678"/>
    <n v="1131.7820914881111"/>
  </r>
  <r>
    <s v="Regular"/>
    <x v="3"/>
    <x v="3"/>
    <x v="1"/>
    <x v="0"/>
    <x v="0"/>
    <x v="0"/>
    <x v="0"/>
    <x v="5"/>
    <n v="0"/>
    <n v="0"/>
    <n v="8.5079999999999991"/>
    <n v="8.5079999999999991"/>
    <n v="8.5079999999999991"/>
    <n v="8.5079999999999991"/>
    <n v="0"/>
    <x v="0"/>
    <n v="0"/>
    <n v="0"/>
    <n v="59"/>
    <n v="2"/>
    <n v="0"/>
    <n v="370.31"/>
    <n v="150.26"/>
    <m/>
    <n v="438.41907129175127"/>
    <n v="136.62265710865657"/>
    <n v="0"/>
    <n v="3150.5974799999999"/>
    <n v="1278.4120799999998"/>
    <n v="0"/>
    <n v="3730.0694585502192"/>
    <n v="1162.38556668045"/>
  </r>
  <r>
    <s v="Regular"/>
    <x v="3"/>
    <x v="3"/>
    <x v="1"/>
    <x v="0"/>
    <x v="0"/>
    <x v="0"/>
    <x v="0"/>
    <x v="6"/>
    <n v="0"/>
    <n v="0"/>
    <n v="6.3239999999999998"/>
    <n v="6.3239999999999998"/>
    <n v="6.3239999999999998"/>
    <n v="6.3239999999999998"/>
    <n v="0"/>
    <x v="0"/>
    <n v="0"/>
    <n v="0"/>
    <n v="59"/>
    <n v="2"/>
    <n v="0"/>
    <n v="370.31"/>
    <n v="150.26"/>
    <m/>
    <n v="438.41907129175127"/>
    <n v="136.62265710865657"/>
    <n v="0"/>
    <n v="2341.8404399999999"/>
    <n v="950.24423999999988"/>
    <n v="0"/>
    <n v="2772.5622068490347"/>
    <n v="864.00168355514415"/>
  </r>
  <r>
    <s v="Regular"/>
    <x v="3"/>
    <x v="3"/>
    <x v="1"/>
    <x v="0"/>
    <x v="0"/>
    <x v="0"/>
    <x v="0"/>
    <x v="7"/>
    <n v="0"/>
    <n v="0"/>
    <n v="6.3140000000000001"/>
    <n v="6.3140000000000001"/>
    <n v="6.3140000000000001"/>
    <n v="6.3140000000000001"/>
    <n v="0"/>
    <x v="0"/>
    <n v="0"/>
    <n v="0"/>
    <n v="59"/>
    <n v="2"/>
    <n v="0"/>
    <n v="370.31"/>
    <n v="150.26"/>
    <m/>
    <n v="438.41907129175127"/>
    <n v="136.62265710865657"/>
    <n v="0"/>
    <n v="2338.1373400000002"/>
    <n v="948.74163999999996"/>
    <n v="0"/>
    <n v="2768.1780161361175"/>
    <n v="862.63545698405756"/>
  </r>
  <r>
    <s v="Regular"/>
    <x v="3"/>
    <x v="3"/>
    <x v="1"/>
    <x v="0"/>
    <x v="0"/>
    <x v="0"/>
    <x v="0"/>
    <x v="8"/>
    <n v="0"/>
    <n v="0"/>
    <n v="5.226"/>
    <n v="5.226"/>
    <n v="5.226"/>
    <n v="5.226"/>
    <n v="0"/>
    <x v="0"/>
    <n v="0"/>
    <n v="0"/>
    <n v="59"/>
    <n v="2"/>
    <n v="0"/>
    <n v="370.31"/>
    <n v="150.26"/>
    <m/>
    <n v="438.41907129175127"/>
    <n v="136.62265710865657"/>
    <n v="0"/>
    <n v="1935.2400600000001"/>
    <n v="785.25875999999994"/>
    <n v="0"/>
    <n v="2291.178066570692"/>
    <n v="713.99000604983928"/>
  </r>
  <r>
    <s v="Regular"/>
    <x v="3"/>
    <x v="3"/>
    <x v="1"/>
    <x v="0"/>
    <x v="0"/>
    <x v="0"/>
    <x v="0"/>
    <x v="9"/>
    <n v="0"/>
    <n v="0"/>
    <n v="4.83"/>
    <n v="4.83"/>
    <n v="4.83"/>
    <n v="4.83"/>
    <n v="0"/>
    <x v="0"/>
    <n v="0"/>
    <n v="0"/>
    <n v="59"/>
    <n v="2"/>
    <n v="0"/>
    <n v="370.31"/>
    <n v="150.26"/>
    <m/>
    <n v="438.41907129175127"/>
    <n v="136.62265710865657"/>
    <n v="0"/>
    <n v="1788.5973000000001"/>
    <n v="725.75580000000002"/>
    <n v="0"/>
    <n v="2117.5641143391586"/>
    <n v="659.88743383481119"/>
  </r>
  <r>
    <s v="Regular"/>
    <x v="3"/>
    <x v="3"/>
    <x v="1"/>
    <x v="0"/>
    <x v="0"/>
    <x v="0"/>
    <x v="0"/>
    <x v="10"/>
    <n v="0"/>
    <n v="0"/>
    <n v="3.302"/>
    <n v="3.302"/>
    <n v="3.302"/>
    <n v="3.302"/>
    <n v="0"/>
    <x v="0"/>
    <n v="0"/>
    <n v="0"/>
    <n v="59"/>
    <n v="2"/>
    <n v="0"/>
    <n v="370.31"/>
    <n v="150.26"/>
    <m/>
    <n v="438.41907129175127"/>
    <n v="136.62265710865657"/>
    <n v="0"/>
    <n v="1222.7636199999999"/>
    <n v="496.15851999999995"/>
    <n v="0"/>
    <n v="1447.6597734053628"/>
    <n v="451.12801377278402"/>
  </r>
  <r>
    <s v="PROJETADO"/>
    <x v="3"/>
    <x v="3"/>
    <x v="1"/>
    <x v="0"/>
    <x v="0"/>
    <x v="0"/>
    <x v="0"/>
    <x v="11"/>
    <n v="0"/>
    <n v="0"/>
    <n v="3.302"/>
    <n v="3.302"/>
    <n v="3.302"/>
    <n v="3.302"/>
    <n v="0"/>
    <x v="0"/>
    <n v="0"/>
    <n v="0"/>
    <n v="59"/>
    <n v="2"/>
    <n v="0"/>
    <n v="370.31"/>
    <n v="150.26"/>
    <m/>
    <n v="438.41907129175127"/>
    <n v="136.62265710865657"/>
    <n v="0"/>
    <n v="1222.7636199999999"/>
    <n v="496.15851999999995"/>
    <n v="0"/>
    <n v="1447.6597734053628"/>
    <n v="451.12801377278402"/>
  </r>
  <r>
    <s v="Regular"/>
    <x v="3"/>
    <x v="3"/>
    <x v="1"/>
    <x v="0"/>
    <x v="0"/>
    <x v="0"/>
    <x v="3"/>
    <x v="0"/>
    <n v="0"/>
    <n v="0"/>
    <n v="0.08"/>
    <n v="0.08"/>
    <n v="0.08"/>
    <n v="0.08"/>
    <n v="0"/>
    <x v="0"/>
    <n v="0"/>
    <n v="0"/>
    <n v="56"/>
    <n v="21"/>
    <n v="0"/>
    <n v="954.43"/>
    <n v="150.26"/>
    <m/>
    <n v="1083.5212897349343"/>
    <n v="136.62265710865657"/>
    <n v="0"/>
    <n v="76.354399999999998"/>
    <n v="12.020799999999999"/>
    <n v="0"/>
    <n v="86.681703178794749"/>
    <n v="10.929812568692526"/>
  </r>
  <r>
    <s v="Regular"/>
    <x v="3"/>
    <x v="3"/>
    <x v="1"/>
    <x v="0"/>
    <x v="0"/>
    <x v="0"/>
    <x v="3"/>
    <x v="1"/>
    <n v="0"/>
    <n v="0"/>
    <n v="9.5000000000000001E-2"/>
    <n v="9.5000000000000001E-2"/>
    <n v="9.5000000000000001E-2"/>
    <n v="9.5000000000000001E-2"/>
    <n v="0"/>
    <x v="0"/>
    <n v="0"/>
    <n v="0"/>
    <n v="56"/>
    <n v="21"/>
    <n v="0"/>
    <n v="954.43"/>
    <n v="150.26"/>
    <m/>
    <n v="1083.5212897349343"/>
    <n v="136.62265710865657"/>
    <n v="0"/>
    <n v="90.670850000000002"/>
    <n v="14.274699999999999"/>
    <n v="0"/>
    <n v="102.93452252481876"/>
    <n v="12.979152425322374"/>
  </r>
  <r>
    <s v="Regular"/>
    <x v="3"/>
    <x v="3"/>
    <x v="1"/>
    <x v="0"/>
    <x v="0"/>
    <x v="0"/>
    <x v="3"/>
    <x v="2"/>
    <n v="0"/>
    <n v="0"/>
    <n v="0.104"/>
    <n v="0.104"/>
    <n v="0.104"/>
    <n v="0.104"/>
    <n v="0"/>
    <x v="0"/>
    <n v="0"/>
    <n v="0"/>
    <n v="56"/>
    <n v="21"/>
    <n v="0"/>
    <n v="954.43"/>
    <n v="150.26"/>
    <m/>
    <n v="1083.5212897349343"/>
    <n v="136.62265710865657"/>
    <n v="0"/>
    <n v="99.260719999999992"/>
    <n v="15.627039999999999"/>
    <n v="0"/>
    <n v="112.68621413243316"/>
    <n v="14.208756339300283"/>
  </r>
  <r>
    <s v="Regular"/>
    <x v="3"/>
    <x v="3"/>
    <x v="1"/>
    <x v="0"/>
    <x v="0"/>
    <x v="0"/>
    <x v="3"/>
    <x v="3"/>
    <n v="0"/>
    <n v="0"/>
    <n v="0.26700000000000002"/>
    <n v="0.26700000000000002"/>
    <n v="0.26700000000000002"/>
    <n v="0.26700000000000002"/>
    <n v="0"/>
    <x v="0"/>
    <n v="0"/>
    <n v="0"/>
    <n v="56"/>
    <n v="21"/>
    <n v="0"/>
    <n v="954.43"/>
    <n v="150.26"/>
    <m/>
    <n v="1083.5212897349343"/>
    <n v="136.62265710865657"/>
    <n v="0"/>
    <n v="254.83280999999999"/>
    <n v="40.119419999999998"/>
    <n v="0"/>
    <n v="289.30018435922744"/>
    <n v="36.478249448011304"/>
  </r>
  <r>
    <s v="Regular"/>
    <x v="3"/>
    <x v="3"/>
    <x v="1"/>
    <x v="0"/>
    <x v="0"/>
    <x v="0"/>
    <x v="3"/>
    <x v="4"/>
    <n v="0"/>
    <n v="0"/>
    <n v="0.26400000000000001"/>
    <n v="0.26400000000000001"/>
    <n v="0.26400000000000001"/>
    <n v="0.26400000000000001"/>
    <n v="0"/>
    <x v="0"/>
    <n v="0"/>
    <n v="0"/>
    <n v="56"/>
    <n v="21"/>
    <n v="0"/>
    <n v="954.43"/>
    <n v="150.26"/>
    <m/>
    <n v="1083.5212897349343"/>
    <n v="136.62265710865657"/>
    <n v="0"/>
    <n v="251.96951999999999"/>
    <n v="39.668639999999996"/>
    <n v="0"/>
    <n v="286.04962049002268"/>
    <n v="36.068381476685339"/>
  </r>
  <r>
    <s v="Regular"/>
    <x v="3"/>
    <x v="3"/>
    <x v="1"/>
    <x v="0"/>
    <x v="0"/>
    <x v="0"/>
    <x v="3"/>
    <x v="5"/>
    <n v="0"/>
    <n v="0"/>
    <n v="0.20699999999999999"/>
    <n v="0.20699999999999999"/>
    <n v="0.20699999999999999"/>
    <n v="0.20699999999999999"/>
    <n v="0"/>
    <x v="0"/>
    <n v="0"/>
    <n v="0"/>
    <n v="56"/>
    <n v="21"/>
    <n v="0"/>
    <n v="954.43"/>
    <n v="150.26"/>
    <m/>
    <n v="1083.5212897349343"/>
    <n v="136.62265710865657"/>
    <n v="0"/>
    <n v="197.56700999999998"/>
    <n v="31.103819999999995"/>
    <n v="0"/>
    <n v="224.2889069751314"/>
    <n v="28.28089002149191"/>
  </r>
  <r>
    <s v="Regular"/>
    <x v="3"/>
    <x v="3"/>
    <x v="1"/>
    <x v="0"/>
    <x v="0"/>
    <x v="0"/>
    <x v="3"/>
    <x v="6"/>
    <n v="0"/>
    <n v="0"/>
    <n v="0.161"/>
    <n v="0.161"/>
    <n v="0.161"/>
    <n v="0.161"/>
    <n v="0"/>
    <x v="0"/>
    <n v="0"/>
    <n v="0"/>
    <n v="56"/>
    <n v="21"/>
    <n v="0"/>
    <n v="954.43"/>
    <n v="150.26"/>
    <m/>
    <n v="1083.5212897349343"/>
    <n v="136.62265710865657"/>
    <n v="0"/>
    <n v="153.66323"/>
    <n v="24.191859999999998"/>
    <n v="0"/>
    <n v="174.44692764732443"/>
    <n v="21.996247794493708"/>
  </r>
  <r>
    <s v="Regular"/>
    <x v="3"/>
    <x v="3"/>
    <x v="1"/>
    <x v="0"/>
    <x v="0"/>
    <x v="0"/>
    <x v="3"/>
    <x v="7"/>
    <n v="0"/>
    <n v="0"/>
    <n v="0.1"/>
    <n v="0.1"/>
    <n v="0.1"/>
    <n v="0.1"/>
    <n v="0"/>
    <x v="0"/>
    <n v="0"/>
    <n v="0"/>
    <n v="56"/>
    <n v="21"/>
    <n v="0"/>
    <n v="954.43"/>
    <n v="150.26"/>
    <m/>
    <n v="1083.5212897349343"/>
    <n v="136.62265710865657"/>
    <n v="0"/>
    <n v="95.442999999999998"/>
    <n v="15.026"/>
    <n v="0"/>
    <n v="108.35212897349344"/>
    <n v="13.662265710865658"/>
  </r>
  <r>
    <s v="Regular"/>
    <x v="3"/>
    <x v="3"/>
    <x v="1"/>
    <x v="0"/>
    <x v="0"/>
    <x v="0"/>
    <x v="3"/>
    <x v="8"/>
    <n v="0"/>
    <n v="0"/>
    <n v="0.104"/>
    <n v="0.104"/>
    <n v="0.104"/>
    <n v="0.104"/>
    <n v="0"/>
    <x v="0"/>
    <n v="0"/>
    <n v="0"/>
    <n v="56"/>
    <n v="21"/>
    <n v="0"/>
    <n v="954.43"/>
    <n v="150.26"/>
    <m/>
    <n v="1083.5212897349343"/>
    <n v="136.62265710865657"/>
    <n v="0"/>
    <n v="99.260719999999992"/>
    <n v="15.627039999999999"/>
    <n v="0"/>
    <n v="112.68621413243316"/>
    <n v="14.208756339300283"/>
  </r>
  <r>
    <s v="Regular"/>
    <x v="3"/>
    <x v="3"/>
    <x v="1"/>
    <x v="0"/>
    <x v="0"/>
    <x v="0"/>
    <x v="3"/>
    <x v="9"/>
    <n v="0"/>
    <n v="0"/>
    <n v="0.11"/>
    <n v="0.11"/>
    <n v="0.11"/>
    <n v="0.11"/>
    <n v="0"/>
    <x v="0"/>
    <n v="0"/>
    <n v="0"/>
    <n v="56"/>
    <n v="21"/>
    <n v="0"/>
    <n v="954.43"/>
    <n v="150.26"/>
    <m/>
    <n v="1083.5212897349343"/>
    <n v="136.62265710865657"/>
    <n v="0"/>
    <n v="104.98729999999999"/>
    <n v="16.528600000000001"/>
    <n v="0"/>
    <n v="119.18734187084277"/>
    <n v="15.028492281952223"/>
  </r>
  <r>
    <s v="Regular"/>
    <x v="3"/>
    <x v="3"/>
    <x v="1"/>
    <x v="0"/>
    <x v="0"/>
    <x v="0"/>
    <x v="3"/>
    <x v="10"/>
    <n v="0"/>
    <n v="0"/>
    <n v="8.7999999999999995E-2"/>
    <n v="8.7999999999999995E-2"/>
    <n v="8.7999999999999995E-2"/>
    <n v="8.7999999999999995E-2"/>
    <n v="0"/>
    <x v="0"/>
    <n v="0"/>
    <n v="0"/>
    <n v="56"/>
    <n v="21"/>
    <n v="0"/>
    <n v="954.43"/>
    <n v="150.26"/>
    <m/>
    <n v="1083.5212897349343"/>
    <n v="136.62265710865657"/>
    <n v="0"/>
    <n v="83.989839999999987"/>
    <n v="13.222879999999998"/>
    <n v="0"/>
    <n v="95.349873496674206"/>
    <n v="12.022793825561777"/>
  </r>
  <r>
    <s v="PROJETADO"/>
    <x v="3"/>
    <x v="3"/>
    <x v="1"/>
    <x v="0"/>
    <x v="0"/>
    <x v="0"/>
    <x v="3"/>
    <x v="11"/>
    <n v="0"/>
    <n v="0"/>
    <n v="8.7999999999999995E-2"/>
    <n v="8.7999999999999995E-2"/>
    <n v="8.7999999999999995E-2"/>
    <n v="8.7999999999999995E-2"/>
    <n v="0"/>
    <x v="0"/>
    <n v="0"/>
    <n v="0"/>
    <n v="56"/>
    <n v="21"/>
    <n v="0"/>
    <n v="954.43"/>
    <n v="150.26"/>
    <m/>
    <n v="1083.5212897349343"/>
    <n v="136.62265710865657"/>
    <n v="0"/>
    <n v="83.989839999999987"/>
    <n v="13.222879999999998"/>
    <n v="0"/>
    <n v="95.349873496674206"/>
    <n v="12.022793825561777"/>
  </r>
  <r>
    <s v="Regular"/>
    <x v="3"/>
    <x v="3"/>
    <x v="1"/>
    <x v="0"/>
    <x v="0"/>
    <x v="0"/>
    <x v="1"/>
    <x v="0"/>
    <n v="0"/>
    <n v="0"/>
    <n v="7.2999999999999995E-2"/>
    <n v="7.2999999999999995E-2"/>
    <n v="7.2999999999999995E-2"/>
    <n v="7.2999999999999995E-2"/>
    <n v="0"/>
    <x v="0"/>
    <n v="0"/>
    <n v="0"/>
    <n v="81"/>
    <n v="25"/>
    <n v="0"/>
    <n v="1538.51"/>
    <n v="150.26"/>
    <m/>
    <n v="1728.6668392940069"/>
    <n v="136.62265710865657"/>
    <n v="0"/>
    <n v="112.31122999999999"/>
    <n v="10.968979999999998"/>
    <n v="0"/>
    <n v="126.1926792684625"/>
    <n v="9.9734539689319295"/>
  </r>
  <r>
    <s v="Regular"/>
    <x v="3"/>
    <x v="3"/>
    <x v="1"/>
    <x v="0"/>
    <x v="0"/>
    <x v="0"/>
    <x v="1"/>
    <x v="1"/>
    <n v="0"/>
    <n v="0"/>
    <n v="0.114"/>
    <n v="0.114"/>
    <n v="0.114"/>
    <n v="0.114"/>
    <n v="0"/>
    <x v="0"/>
    <n v="0"/>
    <n v="0"/>
    <n v="81"/>
    <n v="25"/>
    <n v="0"/>
    <n v="1538.51"/>
    <n v="150.26"/>
    <m/>
    <n v="1728.6668392940069"/>
    <n v="136.62265710865657"/>
    <n v="0"/>
    <n v="175.39014"/>
    <n v="17.129639999999998"/>
    <n v="0"/>
    <n v="197.06801967951679"/>
    <n v="15.574982910386849"/>
  </r>
  <r>
    <s v="Regular"/>
    <x v="3"/>
    <x v="3"/>
    <x v="1"/>
    <x v="0"/>
    <x v="0"/>
    <x v="0"/>
    <x v="1"/>
    <x v="2"/>
    <n v="0"/>
    <n v="0"/>
    <n v="7.3999999999999996E-2"/>
    <n v="7.3999999999999996E-2"/>
    <n v="7.3999999999999996E-2"/>
    <n v="7.3999999999999996E-2"/>
    <n v="0"/>
    <x v="0"/>
    <n v="0"/>
    <n v="0"/>
    <n v="81"/>
    <n v="25"/>
    <n v="0"/>
    <n v="1538.51"/>
    <n v="150.26"/>
    <m/>
    <n v="1728.6668392940069"/>
    <n v="136.62265710865657"/>
    <n v="0"/>
    <n v="113.84974"/>
    <n v="11.11924"/>
    <n v="0"/>
    <n v="127.92134610775651"/>
    <n v="10.110076626040586"/>
  </r>
  <r>
    <s v="Regular"/>
    <x v="3"/>
    <x v="3"/>
    <x v="1"/>
    <x v="0"/>
    <x v="0"/>
    <x v="0"/>
    <x v="1"/>
    <x v="3"/>
    <n v="0"/>
    <n v="0"/>
    <n v="0.108"/>
    <n v="0.108"/>
    <n v="0.108"/>
    <n v="0.108"/>
    <n v="0"/>
    <x v="0"/>
    <n v="0"/>
    <n v="0"/>
    <n v="81"/>
    <n v="25"/>
    <n v="0"/>
    <n v="1538.51"/>
    <n v="150.26"/>
    <m/>
    <n v="1728.6668392940069"/>
    <n v="136.62265710865657"/>
    <n v="0"/>
    <n v="166.15907999999999"/>
    <n v="16.228079999999999"/>
    <n v="0"/>
    <n v="186.69601864375275"/>
    <n v="14.755246967734909"/>
  </r>
  <r>
    <s v="Regular"/>
    <x v="3"/>
    <x v="3"/>
    <x v="1"/>
    <x v="0"/>
    <x v="0"/>
    <x v="0"/>
    <x v="1"/>
    <x v="4"/>
    <n v="0"/>
    <n v="0"/>
    <n v="0.126"/>
    <n v="0.126"/>
    <n v="0.126"/>
    <n v="0.126"/>
    <n v="0"/>
    <x v="0"/>
    <n v="0"/>
    <n v="0"/>
    <n v="81"/>
    <n v="25"/>
    <n v="0"/>
    <n v="1538.51"/>
    <n v="150.26"/>
    <m/>
    <n v="1728.6668392940069"/>
    <n v="136.62265710865657"/>
    <n v="0"/>
    <n v="193.85226"/>
    <n v="18.932759999999998"/>
    <n v="0"/>
    <n v="217.81202175104488"/>
    <n v="17.214454795690727"/>
  </r>
  <r>
    <s v="Regular"/>
    <x v="3"/>
    <x v="3"/>
    <x v="1"/>
    <x v="0"/>
    <x v="0"/>
    <x v="0"/>
    <x v="1"/>
    <x v="5"/>
    <n v="0"/>
    <n v="0"/>
    <n v="8.6999999999999994E-2"/>
    <n v="8.6999999999999994E-2"/>
    <n v="8.6999999999999994E-2"/>
    <n v="8.6999999999999994E-2"/>
    <n v="0"/>
    <x v="0"/>
    <n v="0"/>
    <n v="0"/>
    <n v="81"/>
    <n v="25"/>
    <n v="0"/>
    <n v="1538.51"/>
    <n v="150.26"/>
    <m/>
    <n v="1728.6668392940069"/>
    <n v="136.62265710865657"/>
    <n v="0"/>
    <n v="133.85037"/>
    <n v="13.072619999999999"/>
    <n v="0"/>
    <n v="150.39401501857859"/>
    <n v="11.886171168453121"/>
  </r>
  <r>
    <s v="Regular"/>
    <x v="3"/>
    <x v="3"/>
    <x v="1"/>
    <x v="0"/>
    <x v="0"/>
    <x v="0"/>
    <x v="1"/>
    <x v="6"/>
    <n v="0"/>
    <n v="0"/>
    <n v="8.2000000000000003E-2"/>
    <n v="8.2000000000000003E-2"/>
    <n v="8.2000000000000003E-2"/>
    <n v="8.2000000000000003E-2"/>
    <n v="0"/>
    <x v="0"/>
    <n v="0"/>
    <n v="0"/>
    <n v="81"/>
    <n v="25"/>
    <n v="0"/>
    <n v="1538.51"/>
    <n v="150.26"/>
    <m/>
    <n v="1728.6668392940069"/>
    <n v="136.62265710865657"/>
    <n v="0"/>
    <n v="126.15782"/>
    <n v="12.32132"/>
    <n v="0"/>
    <n v="141.75068082210856"/>
    <n v="11.203057882909839"/>
  </r>
  <r>
    <s v="Regular"/>
    <x v="3"/>
    <x v="3"/>
    <x v="1"/>
    <x v="0"/>
    <x v="0"/>
    <x v="0"/>
    <x v="1"/>
    <x v="7"/>
    <n v="0"/>
    <n v="0"/>
    <n v="6.6000000000000003E-2"/>
    <n v="6.6000000000000003E-2"/>
    <n v="6.6000000000000003E-2"/>
    <n v="6.6000000000000003E-2"/>
    <n v="0"/>
    <x v="0"/>
    <n v="0"/>
    <n v="0"/>
    <n v="81"/>
    <n v="25"/>
    <n v="0"/>
    <n v="1538.51"/>
    <n v="150.26"/>
    <m/>
    <n v="1728.6668392940069"/>
    <n v="136.62265710865657"/>
    <n v="0"/>
    <n v="101.54166000000001"/>
    <n v="9.9171599999999991"/>
    <n v="0"/>
    <n v="114.09201139340446"/>
    <n v="9.0170953691713347"/>
  </r>
  <r>
    <s v="Regular"/>
    <x v="3"/>
    <x v="3"/>
    <x v="1"/>
    <x v="0"/>
    <x v="0"/>
    <x v="0"/>
    <x v="1"/>
    <x v="8"/>
    <n v="0"/>
    <n v="0"/>
    <n v="8.5000000000000006E-2"/>
    <n v="8.5000000000000006E-2"/>
    <n v="8.5000000000000006E-2"/>
    <n v="8.5000000000000006E-2"/>
    <n v="0"/>
    <x v="0"/>
    <n v="0"/>
    <n v="0"/>
    <n v="81"/>
    <n v="25"/>
    <n v="0"/>
    <n v="1538.51"/>
    <n v="150.26"/>
    <m/>
    <n v="1728.6668392940069"/>
    <n v="136.62265710865657"/>
    <n v="0"/>
    <n v="130.77335000000002"/>
    <n v="12.7721"/>
    <n v="0"/>
    <n v="146.9366813399906"/>
    <n v="11.61292585423581"/>
  </r>
  <r>
    <s v="Regular"/>
    <x v="3"/>
    <x v="3"/>
    <x v="1"/>
    <x v="0"/>
    <x v="0"/>
    <x v="0"/>
    <x v="1"/>
    <x v="9"/>
    <n v="0"/>
    <n v="0"/>
    <n v="9.5000000000000001E-2"/>
    <n v="9.5000000000000001E-2"/>
    <n v="9.5000000000000001E-2"/>
    <n v="9.5000000000000001E-2"/>
    <n v="0"/>
    <x v="0"/>
    <n v="0"/>
    <n v="0"/>
    <n v="81"/>
    <n v="25"/>
    <n v="0"/>
    <n v="1538.51"/>
    <n v="150.26"/>
    <m/>
    <n v="1728.6668392940069"/>
    <n v="136.62265710865657"/>
    <n v="0"/>
    <n v="146.15844999999999"/>
    <n v="14.274699999999999"/>
    <n v="0"/>
    <n v="164.22334973293064"/>
    <n v="12.979152425322374"/>
  </r>
  <r>
    <s v="Regular"/>
    <x v="3"/>
    <x v="3"/>
    <x v="1"/>
    <x v="0"/>
    <x v="0"/>
    <x v="0"/>
    <x v="1"/>
    <x v="10"/>
    <n v="0"/>
    <n v="0"/>
    <n v="7.6999999999999999E-2"/>
    <n v="7.6999999999999999E-2"/>
    <n v="7.6999999999999999E-2"/>
    <n v="7.6999999999999999E-2"/>
    <n v="0"/>
    <x v="0"/>
    <n v="0"/>
    <n v="0"/>
    <n v="81"/>
    <n v="25"/>
    <n v="0"/>
    <n v="1538.51"/>
    <n v="150.26"/>
    <m/>
    <n v="1728.6668392940069"/>
    <n v="136.62265710865657"/>
    <n v="0"/>
    <n v="118.46527"/>
    <n v="11.57002"/>
    <n v="0"/>
    <n v="133.10734662563854"/>
    <n v="10.519944597366555"/>
  </r>
  <r>
    <s v="PROJETADO"/>
    <x v="3"/>
    <x v="3"/>
    <x v="1"/>
    <x v="0"/>
    <x v="0"/>
    <x v="0"/>
    <x v="1"/>
    <x v="11"/>
    <n v="0"/>
    <n v="0"/>
    <n v="7.6999999999999999E-2"/>
    <n v="7.6999999999999999E-2"/>
    <n v="7.6999999999999999E-2"/>
    <n v="7.6999999999999999E-2"/>
    <n v="0"/>
    <x v="0"/>
    <n v="0"/>
    <n v="0"/>
    <n v="81"/>
    <n v="25"/>
    <n v="0"/>
    <n v="1538.51"/>
    <n v="150.26"/>
    <m/>
    <n v="1728.6668392940069"/>
    <n v="136.62265710865657"/>
    <n v="0"/>
    <n v="118.46527"/>
    <n v="11.57002"/>
    <n v="0"/>
    <n v="133.10734662563854"/>
    <n v="10.519944597366555"/>
  </r>
  <r>
    <s v="Regular"/>
    <x v="3"/>
    <x v="2"/>
    <x v="1"/>
    <x v="0"/>
    <x v="0"/>
    <x v="0"/>
    <x v="2"/>
    <x v="0"/>
    <n v="0"/>
    <n v="0"/>
    <n v="660.53899999999999"/>
    <n v="660.53899999999999"/>
    <n v="660.53899999999999"/>
    <n v="660.53899999999999"/>
    <n v="1195"/>
    <x v="0"/>
    <n v="0"/>
    <n v="0"/>
    <n v="66"/>
    <n v="10"/>
    <n v="0"/>
    <n v="501.48"/>
    <n v="150.26"/>
    <m/>
    <n v="590.21277757372172"/>
    <n v="136.62265710865657"/>
    <n v="0"/>
    <n v="331247.09772000002"/>
    <n v="99252.590139999986"/>
    <n v="0"/>
    <n v="389858.55788576859"/>
    <n v="90244.593303894901"/>
  </r>
  <r>
    <s v="Refaturamento - Regular"/>
    <x v="3"/>
    <x v="2"/>
    <x v="1"/>
    <x v="0"/>
    <x v="0"/>
    <x v="0"/>
    <x v="2"/>
    <x v="0"/>
    <n v="0"/>
    <n v="0"/>
    <n v="-0.156"/>
    <n v="-0.156"/>
    <n v="-0.156"/>
    <n v="-0.156"/>
    <n v="0"/>
    <x v="0"/>
    <n v="0"/>
    <n v="0"/>
    <n v="66"/>
    <n v="10"/>
    <n v="0"/>
    <n v="501.48"/>
    <n v="150.26"/>
    <m/>
    <n v="590.21277757372172"/>
    <n v="136.62265710865657"/>
    <n v="0"/>
    <n v="-78.230879999999999"/>
    <n v="-23.440559999999998"/>
    <n v="0"/>
    <n v="-92.073193301500595"/>
    <n v="-21.313134508950423"/>
  </r>
  <r>
    <s v="Sistema de Compensação"/>
    <x v="3"/>
    <x v="2"/>
    <x v="1"/>
    <x v="0"/>
    <x v="0"/>
    <x v="0"/>
    <x v="2"/>
    <x v="0"/>
    <n v="0"/>
    <n v="0"/>
    <n v="25.408000000000001"/>
    <n v="25.408000000000001"/>
    <n v="25.408000000000001"/>
    <n v="25.408000000000001"/>
    <n v="30"/>
    <x v="0"/>
    <n v="0"/>
    <n v="0"/>
    <n v="66"/>
    <n v="10"/>
    <n v="0"/>
    <n v="501.48"/>
    <n v="150.26"/>
    <m/>
    <n v="590.21277757372172"/>
    <n v="136.62265710865657"/>
    <n v="0"/>
    <n v="12741.603840000002"/>
    <n v="3817.8060799999998"/>
    <n v="0"/>
    <n v="14996.126252593122"/>
    <n v="3471.3084718167461"/>
  </r>
  <r>
    <s v="Regular"/>
    <x v="3"/>
    <x v="2"/>
    <x v="1"/>
    <x v="0"/>
    <x v="0"/>
    <x v="0"/>
    <x v="2"/>
    <x v="1"/>
    <n v="0"/>
    <n v="0"/>
    <n v="662.68"/>
    <n v="662.68"/>
    <n v="662.68"/>
    <n v="662.68"/>
    <n v="1194"/>
    <x v="0"/>
    <n v="0"/>
    <n v="0"/>
    <n v="66"/>
    <n v="10"/>
    <n v="0"/>
    <n v="501.48"/>
    <n v="150.26"/>
    <m/>
    <n v="590.21277757372172"/>
    <n v="136.62265710865657"/>
    <n v="0"/>
    <n v="332320.76639999996"/>
    <n v="99574.296799999982"/>
    <n v="0"/>
    <n v="391122.20344255387"/>
    <n v="90537.102412764521"/>
  </r>
  <r>
    <s v="Refaturamento - Regular"/>
    <x v="3"/>
    <x v="2"/>
    <x v="1"/>
    <x v="0"/>
    <x v="0"/>
    <x v="0"/>
    <x v="2"/>
    <x v="1"/>
    <n v="0"/>
    <n v="0"/>
    <n v="-6.8659999999999997"/>
    <n v="-6.8659999999999997"/>
    <n v="-6.8659999999999997"/>
    <n v="-6.8659999999999997"/>
    <n v="0"/>
    <x v="0"/>
    <n v="0"/>
    <n v="0"/>
    <n v="66"/>
    <n v="10"/>
    <n v="0"/>
    <n v="501.48"/>
    <n v="150.26"/>
    <m/>
    <n v="590.21277757372172"/>
    <n v="136.62265710865657"/>
    <n v="0"/>
    <n v="-3443.1616800000002"/>
    <n v="-1031.68516"/>
    <n v="0"/>
    <n v="-4052.400930821173"/>
    <n v="-938.05116370803592"/>
  </r>
  <r>
    <s v="Sistema de Compensação"/>
    <x v="3"/>
    <x v="2"/>
    <x v="1"/>
    <x v="0"/>
    <x v="0"/>
    <x v="0"/>
    <x v="2"/>
    <x v="1"/>
    <n v="0"/>
    <n v="0"/>
    <n v="21.484000000000002"/>
    <n v="21.484000000000002"/>
    <n v="21.484000000000002"/>
    <n v="21.484000000000002"/>
    <n v="31"/>
    <x v="0"/>
    <n v="0"/>
    <n v="0"/>
    <n v="66"/>
    <n v="10"/>
    <n v="0"/>
    <n v="501.48"/>
    <n v="150.26"/>
    <m/>
    <n v="590.21277757372172"/>
    <n v="136.62265710865657"/>
    <n v="0"/>
    <n v="10773.796320000001"/>
    <n v="3228.1858400000001"/>
    <n v="0"/>
    <n v="12680.131313393838"/>
    <n v="2935.2011653223781"/>
  </r>
  <r>
    <s v="Regular"/>
    <x v="3"/>
    <x v="2"/>
    <x v="1"/>
    <x v="0"/>
    <x v="0"/>
    <x v="0"/>
    <x v="2"/>
    <x v="2"/>
    <n v="0"/>
    <n v="0"/>
    <n v="706.12400000000002"/>
    <n v="706.12400000000002"/>
    <n v="706.12400000000002"/>
    <n v="706.12400000000002"/>
    <n v="1190"/>
    <x v="0"/>
    <n v="0"/>
    <n v="0"/>
    <n v="66"/>
    <n v="10"/>
    <n v="0"/>
    <n v="501.48"/>
    <n v="150.26"/>
    <m/>
    <n v="590.21277757372172"/>
    <n v="136.62265710865657"/>
    <n v="0"/>
    <n v="354107.06352000003"/>
    <n v="106102.19224"/>
    <n v="0"/>
    <n v="416763.40735146671"/>
    <n v="96472.537128193013"/>
  </r>
  <r>
    <s v="Refaturamento - Regular"/>
    <x v="3"/>
    <x v="2"/>
    <x v="1"/>
    <x v="0"/>
    <x v="0"/>
    <x v="0"/>
    <x v="2"/>
    <x v="2"/>
    <n v="0"/>
    <n v="0"/>
    <n v="-9.33"/>
    <n v="-9.33"/>
    <n v="-9.33"/>
    <n v="-9.33"/>
    <n v="0"/>
    <x v="0"/>
    <n v="0"/>
    <n v="0"/>
    <n v="66"/>
    <n v="10"/>
    <n v="0"/>
    <n v="501.48"/>
    <n v="150.26"/>
    <m/>
    <n v="590.21277757372172"/>
    <n v="136.62265710865657"/>
    <n v="0"/>
    <n v="-4678.8083999999999"/>
    <n v="-1401.9258"/>
    <n v="0"/>
    <n v="-5506.6852147628233"/>
    <n v="-1274.6893908237657"/>
  </r>
  <r>
    <s v="Sistema de Compensação"/>
    <x v="3"/>
    <x v="2"/>
    <x v="1"/>
    <x v="0"/>
    <x v="0"/>
    <x v="0"/>
    <x v="2"/>
    <x v="2"/>
    <n v="0"/>
    <n v="0"/>
    <n v="20.423999999999999"/>
    <n v="20.423999999999999"/>
    <n v="20.423999999999999"/>
    <n v="20.423999999999999"/>
    <n v="36"/>
    <x v="0"/>
    <n v="0"/>
    <n v="0"/>
    <n v="66"/>
    <n v="10"/>
    <n v="0"/>
    <n v="501.48"/>
    <n v="150.26"/>
    <m/>
    <n v="590.21277757372172"/>
    <n v="136.62265710865657"/>
    <n v="0"/>
    <n v="10242.22752"/>
    <n v="3068.9102399999997"/>
    <n v="0"/>
    <n v="12054.505769165693"/>
    <n v="2790.3811487872017"/>
  </r>
  <r>
    <s v="Regular"/>
    <x v="3"/>
    <x v="2"/>
    <x v="1"/>
    <x v="0"/>
    <x v="0"/>
    <x v="0"/>
    <x v="2"/>
    <x v="3"/>
    <n v="0"/>
    <n v="0"/>
    <n v="792.92499999999995"/>
    <n v="792.92499999999995"/>
    <n v="792.92499999999995"/>
    <n v="792.92499999999995"/>
    <n v="1198"/>
    <x v="0"/>
    <n v="0"/>
    <n v="0"/>
    <n v="66"/>
    <n v="10"/>
    <n v="0"/>
    <n v="501.48"/>
    <n v="150.26"/>
    <m/>
    <n v="590.21277757372172"/>
    <n v="136.62265710865657"/>
    <n v="0"/>
    <n v="397636.02899999998"/>
    <n v="119144.91049999998"/>
    <n v="0"/>
    <n v="467994.46665764326"/>
    <n v="108331.52038788151"/>
  </r>
  <r>
    <s v="Refaturamento - Regular"/>
    <x v="3"/>
    <x v="2"/>
    <x v="1"/>
    <x v="0"/>
    <x v="0"/>
    <x v="0"/>
    <x v="2"/>
    <x v="3"/>
    <n v="0"/>
    <n v="0"/>
    <n v="-10.298"/>
    <n v="-10.298"/>
    <n v="-10.298"/>
    <n v="-10.298"/>
    <n v="0"/>
    <x v="0"/>
    <n v="0"/>
    <n v="0"/>
    <n v="66"/>
    <n v="10"/>
    <n v="0"/>
    <n v="501.48"/>
    <n v="150.26"/>
    <m/>
    <n v="590.21277757372172"/>
    <n v="136.62265710865657"/>
    <n v="0"/>
    <n v="-5164.2410399999999"/>
    <n v="-1547.3774799999999"/>
    <n v="0"/>
    <n v="-6078.0111834541867"/>
    <n v="-1406.9401229049454"/>
  </r>
  <r>
    <s v="Sistema de Compensação"/>
    <x v="3"/>
    <x v="2"/>
    <x v="1"/>
    <x v="0"/>
    <x v="0"/>
    <x v="0"/>
    <x v="2"/>
    <x v="3"/>
    <n v="0"/>
    <n v="0"/>
    <n v="25.643999999999998"/>
    <n v="25.643999999999998"/>
    <n v="25.643999999999998"/>
    <n v="25.643999999999998"/>
    <n v="38"/>
    <x v="0"/>
    <n v="0"/>
    <n v="0"/>
    <n v="66"/>
    <n v="10"/>
    <n v="0"/>
    <n v="501.48"/>
    <n v="150.26"/>
    <m/>
    <n v="590.21277757372172"/>
    <n v="136.62265710865657"/>
    <n v="0"/>
    <n v="12859.95312"/>
    <n v="3853.2674399999996"/>
    <n v="0"/>
    <n v="15135.416468100519"/>
    <n v="3503.5514188943889"/>
  </r>
  <r>
    <s v="Regular"/>
    <x v="3"/>
    <x v="2"/>
    <x v="1"/>
    <x v="0"/>
    <x v="0"/>
    <x v="0"/>
    <x v="2"/>
    <x v="4"/>
    <n v="0"/>
    <n v="0"/>
    <n v="847.41600000000005"/>
    <n v="847.41600000000005"/>
    <n v="847.41600000000005"/>
    <n v="847.41600000000005"/>
    <n v="1215"/>
    <x v="0"/>
    <n v="0"/>
    <n v="0"/>
    <n v="66"/>
    <n v="10"/>
    <n v="0"/>
    <n v="501.48"/>
    <n v="150.26"/>
    <m/>
    <n v="590.21277757372172"/>
    <n v="136.62265710865657"/>
    <n v="0"/>
    <n v="424962.17568000004"/>
    <n v="127332.72816"/>
    <n v="0"/>
    <n v="500155.75112041301"/>
    <n v="115776.22559638933"/>
  </r>
  <r>
    <s v="Refaturamento - Regular"/>
    <x v="3"/>
    <x v="2"/>
    <x v="1"/>
    <x v="0"/>
    <x v="0"/>
    <x v="0"/>
    <x v="2"/>
    <x v="4"/>
    <n v="0"/>
    <n v="0"/>
    <n v="-0.60499999999999998"/>
    <n v="-0.60499999999999998"/>
    <n v="-0.60499999999999998"/>
    <n v="-0.60499999999999998"/>
    <n v="0"/>
    <x v="0"/>
    <n v="0"/>
    <n v="0"/>
    <n v="66"/>
    <n v="10"/>
    <n v="0"/>
    <n v="501.48"/>
    <n v="150.26"/>
    <m/>
    <n v="590.21277757372172"/>
    <n v="136.62265710865657"/>
    <n v="0"/>
    <n v="-303.3954"/>
    <n v="-90.907299999999992"/>
    <n v="0"/>
    <n v="-357.07873043210162"/>
    <n v="-82.656707550737224"/>
  </r>
  <r>
    <s v="Sistema de Compensação"/>
    <x v="3"/>
    <x v="2"/>
    <x v="1"/>
    <x v="0"/>
    <x v="0"/>
    <x v="0"/>
    <x v="2"/>
    <x v="4"/>
    <n v="0"/>
    <n v="0"/>
    <n v="24.210999999999999"/>
    <n v="24.210999999999999"/>
    <n v="24.210999999999999"/>
    <n v="24.210999999999999"/>
    <n v="41"/>
    <x v="0"/>
    <n v="0"/>
    <n v="0"/>
    <n v="66"/>
    <n v="10"/>
    <n v="0"/>
    <n v="501.48"/>
    <n v="150.26"/>
    <m/>
    <n v="590.21277757372172"/>
    <n v="136.62265710865657"/>
    <n v="0"/>
    <n v="12141.332280000001"/>
    <n v="3637.9448599999996"/>
    <n v="0"/>
    <n v="14289.641557837376"/>
    <n v="3307.7711512576839"/>
  </r>
  <r>
    <s v="Regular"/>
    <x v="3"/>
    <x v="2"/>
    <x v="1"/>
    <x v="0"/>
    <x v="0"/>
    <x v="0"/>
    <x v="2"/>
    <x v="5"/>
    <n v="0"/>
    <n v="0"/>
    <n v="885.84"/>
    <n v="885.84"/>
    <n v="885.84"/>
    <n v="885.84"/>
    <n v="1213"/>
    <x v="0"/>
    <n v="0"/>
    <n v="0"/>
    <n v="66"/>
    <n v="10"/>
    <n v="0"/>
    <n v="501.48"/>
    <n v="150.26"/>
    <m/>
    <n v="590.21277757372172"/>
    <n v="136.62265710865657"/>
    <n v="0"/>
    <n v="444231.04320000001"/>
    <n v="133106.31839999999"/>
    <n v="0"/>
    <n v="522834.08688590565"/>
    <n v="121025.81457313235"/>
  </r>
  <r>
    <s v="Refaturamento - Regular"/>
    <x v="3"/>
    <x v="2"/>
    <x v="1"/>
    <x v="0"/>
    <x v="0"/>
    <x v="0"/>
    <x v="2"/>
    <x v="5"/>
    <n v="0"/>
    <n v="0"/>
    <n v="-1.004"/>
    <n v="-1.004"/>
    <n v="-1.004"/>
    <n v="-1.004"/>
    <n v="0"/>
    <x v="0"/>
    <n v="0"/>
    <n v="0"/>
    <n v="66"/>
    <n v="10"/>
    <n v="0"/>
    <n v="501.48"/>
    <n v="150.26"/>
    <m/>
    <n v="590.21277757372172"/>
    <n v="136.62265710865657"/>
    <n v="0"/>
    <n v="-503.48592000000002"/>
    <n v="-150.86104"/>
    <n v="0"/>
    <n v="-592.57362868401663"/>
    <n v="-137.16914773709121"/>
  </r>
  <r>
    <s v="Sistema de Compensação"/>
    <x v="3"/>
    <x v="2"/>
    <x v="1"/>
    <x v="0"/>
    <x v="0"/>
    <x v="0"/>
    <x v="2"/>
    <x v="5"/>
    <n v="0"/>
    <n v="0"/>
    <n v="30.131"/>
    <n v="30.131"/>
    <n v="30.131"/>
    <n v="30.131"/>
    <n v="46"/>
    <x v="0"/>
    <n v="0"/>
    <n v="0"/>
    <n v="66"/>
    <n v="10"/>
    <n v="0"/>
    <n v="501.48"/>
    <n v="150.26"/>
    <m/>
    <n v="590.21277757372172"/>
    <n v="136.62265710865657"/>
    <n v="0"/>
    <n v="15110.09388"/>
    <n v="4527.4840599999998"/>
    <n v="0"/>
    <n v="17783.701201073811"/>
    <n v="4116.5772813409312"/>
  </r>
  <r>
    <s v="Regular"/>
    <x v="3"/>
    <x v="2"/>
    <x v="1"/>
    <x v="0"/>
    <x v="0"/>
    <x v="0"/>
    <x v="2"/>
    <x v="6"/>
    <n v="0"/>
    <n v="0"/>
    <n v="798.06200000000001"/>
    <n v="798.06200000000001"/>
    <n v="798.06200000000001"/>
    <n v="798.06200000000001"/>
    <n v="1213"/>
    <x v="0"/>
    <n v="0"/>
    <n v="0"/>
    <n v="66"/>
    <n v="10"/>
    <n v="0"/>
    <n v="501.48"/>
    <n v="150.26"/>
    <m/>
    <n v="590.21277757372172"/>
    <n v="136.62265710865657"/>
    <n v="0"/>
    <n v="400212.13176000002"/>
    <n v="119916.79612"/>
    <n v="0"/>
    <n v="471026.38969603949"/>
    <n v="109033.35097744867"/>
  </r>
  <r>
    <s v="Refaturamento - Regular"/>
    <x v="3"/>
    <x v="2"/>
    <x v="1"/>
    <x v="0"/>
    <x v="0"/>
    <x v="0"/>
    <x v="2"/>
    <x v="6"/>
    <n v="0"/>
    <n v="0"/>
    <n v="-7.681"/>
    <n v="-7.681"/>
    <n v="-7.681"/>
    <n v="-7.681"/>
    <n v="0"/>
    <x v="0"/>
    <n v="0"/>
    <n v="0"/>
    <n v="66"/>
    <n v="10"/>
    <n v="0"/>
    <n v="501.48"/>
    <n v="150.26"/>
    <m/>
    <n v="590.21277757372172"/>
    <n v="136.62265710865657"/>
    <n v="0"/>
    <n v="-3851.8678800000002"/>
    <n v="-1154.14706"/>
    <n v="0"/>
    <n v="-4533.4243445437569"/>
    <n v="-1049.398629251591"/>
  </r>
  <r>
    <s v="Sistema de Compensação"/>
    <x v="3"/>
    <x v="2"/>
    <x v="1"/>
    <x v="0"/>
    <x v="0"/>
    <x v="0"/>
    <x v="2"/>
    <x v="6"/>
    <n v="0"/>
    <n v="0"/>
    <n v="46.667000000000002"/>
    <n v="46.667000000000002"/>
    <n v="46.667000000000002"/>
    <n v="46.667000000000002"/>
    <n v="48"/>
    <x v="0"/>
    <n v="0"/>
    <n v="0"/>
    <n v="66"/>
    <n v="10"/>
    <n v="0"/>
    <n v="501.48"/>
    <n v="150.26"/>
    <m/>
    <n v="590.21277757372172"/>
    <n v="136.62265710865657"/>
    <n v="0"/>
    <n v="23402.567160000002"/>
    <n v="7012.1834199999994"/>
    <n v="0"/>
    <n v="27543.459691032873"/>
    <n v="6375.7695392896767"/>
  </r>
  <r>
    <s v="Sistema de Compensação"/>
    <x v="3"/>
    <x v="2"/>
    <x v="1"/>
    <x v="0"/>
    <x v="0"/>
    <x v="0"/>
    <x v="2"/>
    <x v="6"/>
    <n v="0"/>
    <n v="0"/>
    <n v="-0.71399999999999997"/>
    <n v="-0.71399999999999997"/>
    <n v="-0.71399999999999997"/>
    <n v="-0.71399999999999997"/>
    <n v="2"/>
    <x v="0"/>
    <n v="0"/>
    <n v="0"/>
    <n v="66"/>
    <n v="10"/>
    <n v="0"/>
    <n v="501.48"/>
    <n v="150.26"/>
    <m/>
    <n v="590.21277757372172"/>
    <n v="136.62265710865657"/>
    <n v="0"/>
    <n v="-358.05671999999998"/>
    <n v="-107.28563999999999"/>
    <n v="0"/>
    <n v="-421.41192318763729"/>
    <n v="-97.548577175580789"/>
  </r>
  <r>
    <s v="Regular"/>
    <x v="3"/>
    <x v="2"/>
    <x v="1"/>
    <x v="0"/>
    <x v="0"/>
    <x v="0"/>
    <x v="2"/>
    <x v="7"/>
    <n v="0"/>
    <n v="0"/>
    <n v="678.78099999999995"/>
    <n v="678.78099999999995"/>
    <n v="678.78099999999995"/>
    <n v="678.78099999999995"/>
    <n v="1220"/>
    <x v="0"/>
    <n v="0"/>
    <n v="0"/>
    <n v="66"/>
    <n v="10"/>
    <n v="0"/>
    <n v="501.48"/>
    <n v="150.26"/>
    <m/>
    <n v="590.21277757372172"/>
    <n v="136.62265710865657"/>
    <n v="0"/>
    <n v="340395.09587999998"/>
    <n v="101993.63305999999"/>
    <n v="0"/>
    <n v="400625.21937426837"/>
    <n v="92736.863814871002"/>
  </r>
  <r>
    <s v="Sistema de Compensação"/>
    <x v="3"/>
    <x v="2"/>
    <x v="1"/>
    <x v="0"/>
    <x v="0"/>
    <x v="0"/>
    <x v="2"/>
    <x v="7"/>
    <n v="0"/>
    <n v="0"/>
    <n v="39.656999999999996"/>
    <n v="39.656999999999996"/>
    <n v="39.656999999999996"/>
    <n v="39.656999999999996"/>
    <n v="48"/>
    <x v="0"/>
    <n v="0"/>
    <n v="0"/>
    <n v="66"/>
    <n v="10"/>
    <n v="0"/>
    <n v="501.48"/>
    <n v="150.26"/>
    <m/>
    <n v="590.21277757372172"/>
    <n v="136.62265710865657"/>
    <n v="0"/>
    <n v="19887.192359999997"/>
    <n v="5958.860819999999"/>
    <n v="0"/>
    <n v="23406.068120241081"/>
    <n v="5418.0447129579934"/>
  </r>
  <r>
    <s v="Regular"/>
    <x v="3"/>
    <x v="2"/>
    <x v="1"/>
    <x v="0"/>
    <x v="0"/>
    <x v="0"/>
    <x v="2"/>
    <x v="8"/>
    <n v="0"/>
    <n v="0"/>
    <n v="616.69600000000003"/>
    <n v="616.69600000000003"/>
    <n v="616.69600000000003"/>
    <n v="616.69600000000003"/>
    <n v="1213"/>
    <x v="0"/>
    <n v="0"/>
    <n v="0"/>
    <n v="66"/>
    <n v="10"/>
    <n v="0"/>
    <n v="501.48"/>
    <n v="150.26"/>
    <m/>
    <n v="590.21277757372172"/>
    <n v="136.62265710865657"/>
    <n v="0"/>
    <n v="309260.71008000005"/>
    <n v="92664.740959999996"/>
    <n v="0"/>
    <n v="363981.85907860391"/>
    <n v="84254.646148280081"/>
  </r>
  <r>
    <s v="Sistema de Compensação"/>
    <x v="3"/>
    <x v="2"/>
    <x v="1"/>
    <x v="0"/>
    <x v="0"/>
    <x v="0"/>
    <x v="2"/>
    <x v="8"/>
    <n v="0"/>
    <n v="0"/>
    <n v="32.634"/>
    <n v="32.634"/>
    <n v="32.634"/>
    <n v="32.634"/>
    <n v="52"/>
    <x v="0"/>
    <n v="0"/>
    <n v="0"/>
    <n v="66"/>
    <n v="10"/>
    <n v="0"/>
    <n v="501.48"/>
    <n v="150.26"/>
    <m/>
    <n v="590.21277757372172"/>
    <n v="136.62265710865657"/>
    <n v="0"/>
    <n v="16365.29832"/>
    <n v="4903.5848399999995"/>
    <n v="0"/>
    <n v="19261.003783340835"/>
    <n v="4458.5437920838986"/>
  </r>
  <r>
    <s v="Regular"/>
    <x v="3"/>
    <x v="2"/>
    <x v="1"/>
    <x v="0"/>
    <x v="0"/>
    <x v="0"/>
    <x v="2"/>
    <x v="9"/>
    <n v="0"/>
    <n v="0"/>
    <n v="616.24300000000005"/>
    <n v="616.24300000000005"/>
    <n v="616.24300000000005"/>
    <n v="616.24300000000005"/>
    <n v="1210"/>
    <x v="0"/>
    <n v="0"/>
    <n v="0"/>
    <n v="66"/>
    <n v="10"/>
    <n v="0"/>
    <n v="501.48"/>
    <n v="150.26"/>
    <m/>
    <n v="590.21277757372172"/>
    <n v="136.62265710865657"/>
    <n v="0"/>
    <n v="309033.53964000003"/>
    <n v="92596.673179999998"/>
    <n v="0"/>
    <n v="363714.49269036303"/>
    <n v="84192.756084609864"/>
  </r>
  <r>
    <s v="Refaturamento - Regular"/>
    <x v="3"/>
    <x v="2"/>
    <x v="1"/>
    <x v="0"/>
    <x v="0"/>
    <x v="0"/>
    <x v="2"/>
    <x v="9"/>
    <n v="0"/>
    <n v="0"/>
    <n v="-0.2"/>
    <n v="-0.2"/>
    <n v="-0.2"/>
    <n v="-0.2"/>
    <n v="0"/>
    <x v="0"/>
    <n v="0"/>
    <n v="0"/>
    <n v="66"/>
    <n v="10"/>
    <n v="0"/>
    <n v="501.48"/>
    <n v="150.26"/>
    <m/>
    <n v="590.21277757372172"/>
    <n v="136.62265710865657"/>
    <n v="0"/>
    <n v="-100.29600000000001"/>
    <n v="-30.052"/>
    <n v="0"/>
    <n v="-118.04255551474435"/>
    <n v="-27.324531421731315"/>
  </r>
  <r>
    <s v="Sistema de Compensação"/>
    <x v="3"/>
    <x v="2"/>
    <x v="1"/>
    <x v="0"/>
    <x v="0"/>
    <x v="0"/>
    <x v="2"/>
    <x v="9"/>
    <n v="0"/>
    <n v="0"/>
    <n v="42.076999999999998"/>
    <n v="42.076999999999998"/>
    <n v="42.076999999999998"/>
    <n v="42.076999999999998"/>
    <n v="51"/>
    <x v="0"/>
    <n v="0"/>
    <n v="0"/>
    <n v="66"/>
    <n v="10"/>
    <n v="0"/>
    <n v="501.48"/>
    <n v="150.26"/>
    <m/>
    <n v="590.21277757372172"/>
    <n v="136.62265710865657"/>
    <n v="0"/>
    <n v="21100.773959999999"/>
    <n v="6322.4900199999993"/>
    <n v="0"/>
    <n v="24834.38304196949"/>
    <n v="5748.6715431609418"/>
  </r>
  <r>
    <s v="Regular"/>
    <x v="3"/>
    <x v="2"/>
    <x v="1"/>
    <x v="0"/>
    <x v="0"/>
    <x v="0"/>
    <x v="2"/>
    <x v="10"/>
    <n v="0"/>
    <n v="0"/>
    <n v="632.80499999999995"/>
    <n v="632.80499999999995"/>
    <n v="632.80499999999995"/>
    <n v="632.80499999999995"/>
    <n v="1216"/>
    <x v="0"/>
    <n v="0"/>
    <n v="0"/>
    <n v="66"/>
    <n v="10"/>
    <n v="0"/>
    <n v="501.48"/>
    <n v="150.26"/>
    <m/>
    <n v="590.21277757372172"/>
    <n v="136.62265710865657"/>
    <n v="0"/>
    <n v="317339.0514"/>
    <n v="95085.27929999998"/>
    <n v="0"/>
    <n v="373489.59671253897"/>
    <n v="86455.500531643411"/>
  </r>
  <r>
    <s v="Sistema de Compensação"/>
    <x v="3"/>
    <x v="2"/>
    <x v="1"/>
    <x v="0"/>
    <x v="0"/>
    <x v="0"/>
    <x v="2"/>
    <x v="10"/>
    <n v="0"/>
    <n v="0"/>
    <n v="42.026000000000003"/>
    <n v="42.026000000000003"/>
    <n v="42.026000000000003"/>
    <n v="42.026000000000003"/>
    <n v="51"/>
    <x v="0"/>
    <n v="0"/>
    <n v="0"/>
    <n v="66"/>
    <n v="10"/>
    <n v="0"/>
    <n v="501.48"/>
    <n v="150.26"/>
    <m/>
    <n v="590.21277757372172"/>
    <n v="136.62265710865657"/>
    <n v="0"/>
    <n v="21075.198480000003"/>
    <n v="6314.8267599999999"/>
    <n v="0"/>
    <n v="24804.282190313232"/>
    <n v="5741.703787648401"/>
  </r>
  <r>
    <s v="PROJETADO"/>
    <x v="3"/>
    <x v="2"/>
    <x v="1"/>
    <x v="0"/>
    <x v="0"/>
    <x v="0"/>
    <x v="2"/>
    <x v="11"/>
    <n v="0"/>
    <n v="0"/>
    <n v="632.80499999999995"/>
    <n v="632.80499999999995"/>
    <n v="632.80499999999995"/>
    <n v="632.80499999999995"/>
    <n v="1216"/>
    <x v="0"/>
    <n v="0"/>
    <n v="0"/>
    <n v="66"/>
    <n v="10"/>
    <n v="0"/>
    <n v="501.48"/>
    <n v="150.26"/>
    <m/>
    <n v="590.21277757372172"/>
    <n v="136.62265710865657"/>
    <n v="0"/>
    <n v="317339.0514"/>
    <n v="95085.27929999998"/>
    <n v="0"/>
    <n v="373489.59671253897"/>
    <n v="86455.500531643411"/>
  </r>
  <r>
    <s v="PROJETADO"/>
    <x v="3"/>
    <x v="2"/>
    <x v="1"/>
    <x v="0"/>
    <x v="0"/>
    <x v="0"/>
    <x v="2"/>
    <x v="11"/>
    <n v="0"/>
    <n v="0"/>
    <n v="42.026000000000003"/>
    <n v="42.026000000000003"/>
    <n v="42.026000000000003"/>
    <n v="42.026000000000003"/>
    <n v="51"/>
    <x v="0"/>
    <n v="0"/>
    <n v="0"/>
    <n v="66"/>
    <n v="10"/>
    <n v="0"/>
    <n v="501.48"/>
    <n v="150.26"/>
    <m/>
    <n v="590.21277757372172"/>
    <n v="136.62265710865657"/>
    <n v="0"/>
    <n v="21075.198480000003"/>
    <n v="6314.8267599999999"/>
    <n v="0"/>
    <n v="24804.282190313232"/>
    <n v="5741.703787648401"/>
  </r>
  <r>
    <s v="Regular"/>
    <x v="3"/>
    <x v="2"/>
    <x v="6"/>
    <x v="0"/>
    <x v="0"/>
    <x v="0"/>
    <x v="2"/>
    <x v="0"/>
    <n v="0"/>
    <n v="0"/>
    <n v="5.7640000000000002"/>
    <n v="5.7640000000000002"/>
    <n v="5.7640000000000002"/>
    <n v="5.7640000000000002"/>
    <n v="3"/>
    <x v="0"/>
    <n v="0"/>
    <n v="0"/>
    <n v="66"/>
    <n v="10"/>
    <n v="0"/>
    <n v="501.48"/>
    <n v="150.26"/>
    <m/>
    <n v="590.21277757372172"/>
    <n v="136.62265710865657"/>
    <n v="0"/>
    <n v="2890.5307200000002"/>
    <n v="866.09863999999993"/>
    <n v="0"/>
    <n v="3401.9864499349324"/>
    <n v="787.49299557429651"/>
  </r>
  <r>
    <s v="Regular"/>
    <x v="3"/>
    <x v="2"/>
    <x v="6"/>
    <x v="0"/>
    <x v="0"/>
    <x v="0"/>
    <x v="2"/>
    <x v="1"/>
    <n v="0"/>
    <n v="0"/>
    <n v="5.6"/>
    <n v="5.6"/>
    <n v="5.6"/>
    <n v="5.6"/>
    <n v="3"/>
    <x v="0"/>
    <n v="0"/>
    <n v="0"/>
    <n v="66"/>
    <n v="10"/>
    <n v="0"/>
    <n v="501.48"/>
    <n v="150.26"/>
    <m/>
    <n v="590.21277757372172"/>
    <n v="136.62265710865657"/>
    <n v="0"/>
    <n v="2808.288"/>
    <n v="841.4559999999999"/>
    <n v="0"/>
    <n v="3305.1915544128415"/>
    <n v="765.08687980847674"/>
  </r>
  <r>
    <s v="Regular"/>
    <x v="3"/>
    <x v="2"/>
    <x v="6"/>
    <x v="0"/>
    <x v="0"/>
    <x v="0"/>
    <x v="2"/>
    <x v="2"/>
    <n v="0"/>
    <n v="0"/>
    <n v="6.5890000000000004"/>
    <n v="6.5890000000000004"/>
    <n v="6.5890000000000004"/>
    <n v="6.5890000000000004"/>
    <n v="3"/>
    <x v="0"/>
    <n v="0"/>
    <n v="0"/>
    <n v="66"/>
    <n v="10"/>
    <n v="0"/>
    <n v="501.48"/>
    <n v="150.26"/>
    <m/>
    <n v="590.21277757372172"/>
    <n v="136.62265710865657"/>
    <n v="0"/>
    <n v="3304.2517200000002"/>
    <n v="990.06313999999998"/>
    <n v="0"/>
    <n v="3888.9119914332528"/>
    <n v="900.20668768893813"/>
  </r>
  <r>
    <s v="Regular"/>
    <x v="3"/>
    <x v="2"/>
    <x v="6"/>
    <x v="0"/>
    <x v="0"/>
    <x v="0"/>
    <x v="2"/>
    <x v="3"/>
    <n v="0"/>
    <n v="0"/>
    <n v="8.6780000000000008"/>
    <n v="8.6780000000000008"/>
    <n v="8.6780000000000008"/>
    <n v="8.6780000000000008"/>
    <n v="3"/>
    <x v="0"/>
    <n v="0"/>
    <n v="0"/>
    <n v="66"/>
    <n v="10"/>
    <n v="0"/>
    <n v="501.48"/>
    <n v="150.26"/>
    <m/>
    <n v="590.21277757372172"/>
    <n v="136.62265710865657"/>
    <n v="0"/>
    <n v="4351.8434400000006"/>
    <n v="1303.9562800000001"/>
    <n v="0"/>
    <n v="5121.8664837847573"/>
    <n v="1185.6114183889217"/>
  </r>
  <r>
    <s v="Regular"/>
    <x v="3"/>
    <x v="2"/>
    <x v="6"/>
    <x v="0"/>
    <x v="0"/>
    <x v="0"/>
    <x v="2"/>
    <x v="4"/>
    <n v="0"/>
    <n v="0"/>
    <n v="10.233000000000001"/>
    <n v="10.233000000000001"/>
    <n v="10.233000000000001"/>
    <n v="10.233000000000001"/>
    <n v="3"/>
    <x v="0"/>
    <n v="0"/>
    <n v="0"/>
    <n v="66"/>
    <n v="10"/>
    <n v="0"/>
    <n v="501.48"/>
    <n v="150.26"/>
    <m/>
    <n v="590.21277757372172"/>
    <n v="136.62265710865657"/>
    <n v="0"/>
    <n v="5131.6448400000008"/>
    <n v="1537.61058"/>
    <n v="0"/>
    <n v="6039.6473529118948"/>
    <n v="1398.0596501928828"/>
  </r>
  <r>
    <s v="Regular"/>
    <x v="3"/>
    <x v="2"/>
    <x v="6"/>
    <x v="0"/>
    <x v="0"/>
    <x v="0"/>
    <x v="2"/>
    <x v="5"/>
    <n v="0"/>
    <n v="0"/>
    <n v="9.0310000000000006"/>
    <n v="9.0310000000000006"/>
    <n v="9.0310000000000006"/>
    <n v="9.0310000000000006"/>
    <n v="3"/>
    <x v="0"/>
    <n v="0"/>
    <n v="0"/>
    <n v="66"/>
    <n v="10"/>
    <n v="0"/>
    <n v="501.48"/>
    <n v="150.26"/>
    <m/>
    <n v="590.21277757372172"/>
    <n v="136.62265710865657"/>
    <n v="0"/>
    <n v="4528.8658800000003"/>
    <n v="1356.9980599999999"/>
    <n v="0"/>
    <n v="5330.2115942682813"/>
    <n v="1233.8392163482777"/>
  </r>
  <r>
    <s v="Regular"/>
    <x v="3"/>
    <x v="2"/>
    <x v="6"/>
    <x v="0"/>
    <x v="0"/>
    <x v="0"/>
    <x v="2"/>
    <x v="6"/>
    <n v="0"/>
    <n v="0"/>
    <n v="8.0239999999999991"/>
    <n v="8.0239999999999991"/>
    <n v="8.0239999999999991"/>
    <n v="8.0239999999999991"/>
    <n v="4"/>
    <x v="0"/>
    <n v="0"/>
    <n v="0"/>
    <n v="66"/>
    <n v="10"/>
    <n v="0"/>
    <n v="501.48"/>
    <n v="150.26"/>
    <m/>
    <n v="590.21277757372172"/>
    <n v="136.62265710865657"/>
    <n v="0"/>
    <n v="4023.8755199999996"/>
    <n v="1205.6862399999998"/>
    <n v="0"/>
    <n v="4735.8673272515425"/>
    <n v="1096.2602006398602"/>
  </r>
  <r>
    <s v="Regular"/>
    <x v="3"/>
    <x v="2"/>
    <x v="6"/>
    <x v="0"/>
    <x v="0"/>
    <x v="0"/>
    <x v="2"/>
    <x v="7"/>
    <n v="0"/>
    <n v="0"/>
    <n v="6.7210000000000001"/>
    <n v="6.7210000000000001"/>
    <n v="6.7210000000000001"/>
    <n v="6.7210000000000001"/>
    <n v="4"/>
    <x v="0"/>
    <n v="0"/>
    <n v="0"/>
    <n v="66"/>
    <n v="10"/>
    <n v="0"/>
    <n v="501.48"/>
    <n v="150.26"/>
    <m/>
    <n v="590.21277757372172"/>
    <n v="136.62265710865657"/>
    <n v="0"/>
    <n v="3370.4470800000004"/>
    <n v="1009.8974599999999"/>
    <n v="0"/>
    <n v="3966.820078072984"/>
    <n v="918.24087842728079"/>
  </r>
  <r>
    <s v="Regular"/>
    <x v="3"/>
    <x v="2"/>
    <x v="6"/>
    <x v="0"/>
    <x v="0"/>
    <x v="0"/>
    <x v="2"/>
    <x v="8"/>
    <n v="0"/>
    <n v="0"/>
    <n v="4.9660000000000002"/>
    <n v="4.9660000000000002"/>
    <n v="4.9660000000000002"/>
    <n v="4.9660000000000002"/>
    <n v="4"/>
    <x v="0"/>
    <n v="0"/>
    <n v="0"/>
    <n v="66"/>
    <n v="10"/>
    <n v="0"/>
    <n v="501.48"/>
    <n v="150.26"/>
    <m/>
    <n v="590.21277757372172"/>
    <n v="136.62265710865657"/>
    <n v="0"/>
    <n v="2490.3496800000003"/>
    <n v="746.19115999999997"/>
    <n v="0"/>
    <n v="2930.996653431102"/>
    <n v="678.46811520158849"/>
  </r>
  <r>
    <s v="Regular"/>
    <x v="3"/>
    <x v="2"/>
    <x v="6"/>
    <x v="0"/>
    <x v="0"/>
    <x v="0"/>
    <x v="2"/>
    <x v="9"/>
    <n v="0"/>
    <n v="0"/>
    <n v="5.4729999999999999"/>
    <n v="5.4729999999999999"/>
    <n v="5.4729999999999999"/>
    <n v="5.4729999999999999"/>
    <n v="4"/>
    <x v="0"/>
    <n v="0"/>
    <n v="0"/>
    <n v="66"/>
    <n v="10"/>
    <n v="0"/>
    <n v="501.48"/>
    <n v="150.26"/>
    <m/>
    <n v="590.21277757372172"/>
    <n v="136.62265710865657"/>
    <n v="0"/>
    <n v="2744.6000399999998"/>
    <n v="822.37297999999998"/>
    <n v="0"/>
    <n v="3230.234531660979"/>
    <n v="747.73580235567738"/>
  </r>
  <r>
    <s v="Regular"/>
    <x v="3"/>
    <x v="2"/>
    <x v="6"/>
    <x v="0"/>
    <x v="0"/>
    <x v="0"/>
    <x v="2"/>
    <x v="10"/>
    <n v="0"/>
    <n v="0"/>
    <n v="5.3940000000000001"/>
    <n v="5.3940000000000001"/>
    <n v="5.3940000000000001"/>
    <n v="5.3940000000000001"/>
    <n v="4"/>
    <x v="0"/>
    <n v="0"/>
    <n v="0"/>
    <n v="66"/>
    <n v="10"/>
    <n v="0"/>
    <n v="501.48"/>
    <n v="150.26"/>
    <m/>
    <n v="590.21277757372172"/>
    <n v="136.62265710865657"/>
    <n v="0"/>
    <n v="2704.9831200000003"/>
    <n v="810.50243999999998"/>
    <n v="0"/>
    <n v="3183.6077222326549"/>
    <n v="736.94261244409358"/>
  </r>
  <r>
    <s v="PROJETADO"/>
    <x v="3"/>
    <x v="2"/>
    <x v="6"/>
    <x v="0"/>
    <x v="0"/>
    <x v="0"/>
    <x v="2"/>
    <x v="11"/>
    <n v="0"/>
    <n v="0"/>
    <n v="5.3940000000000001"/>
    <n v="5.3940000000000001"/>
    <n v="5.3940000000000001"/>
    <n v="5.3940000000000001"/>
    <n v="4"/>
    <x v="0"/>
    <n v="0"/>
    <n v="0"/>
    <n v="66"/>
    <n v="10"/>
    <n v="0"/>
    <n v="501.48"/>
    <n v="150.26"/>
    <m/>
    <n v="590.21277757372172"/>
    <n v="136.62265710865657"/>
    <n v="0"/>
    <n v="2704.9831200000003"/>
    <n v="810.50243999999998"/>
    <n v="0"/>
    <n v="3183.6077222326549"/>
    <n v="736.94261244409358"/>
  </r>
  <r>
    <s v="Regular"/>
    <x v="3"/>
    <x v="2"/>
    <x v="0"/>
    <x v="0"/>
    <x v="0"/>
    <x v="0"/>
    <x v="2"/>
    <x v="0"/>
    <n v="0"/>
    <n v="0"/>
    <n v="356.65600000000001"/>
    <n v="356.65600000000001"/>
    <n v="356.65600000000001"/>
    <n v="356.65600000000001"/>
    <n v="541"/>
    <x v="0"/>
    <n v="0"/>
    <n v="0"/>
    <n v="66"/>
    <n v="10"/>
    <n v="0"/>
    <n v="501.48"/>
    <n v="150.26"/>
    <m/>
    <n v="590.21277757372172"/>
    <n v="136.62265710865657"/>
    <n v="0"/>
    <n v="178855.85088000001"/>
    <n v="53591.130559999998"/>
    <n v="0"/>
    <n v="210502.92839833329"/>
    <n v="48727.290393745017"/>
  </r>
  <r>
    <s v="Refaturamento - Regular"/>
    <x v="3"/>
    <x v="2"/>
    <x v="0"/>
    <x v="0"/>
    <x v="0"/>
    <x v="0"/>
    <x v="2"/>
    <x v="0"/>
    <n v="0"/>
    <n v="0"/>
    <n v="-0.03"/>
    <n v="-0.03"/>
    <n v="-0.03"/>
    <n v="-0.03"/>
    <n v="0"/>
    <x v="0"/>
    <n v="0"/>
    <n v="0"/>
    <n v="66"/>
    <n v="10"/>
    <n v="0"/>
    <n v="501.48"/>
    <n v="150.26"/>
    <m/>
    <n v="590.21277757372172"/>
    <n v="136.62265710865657"/>
    <n v="0"/>
    <n v="-15.0444"/>
    <n v="-4.5077999999999996"/>
    <n v="0"/>
    <n v="-17.70638332721165"/>
    <n v="-4.0986797132596973"/>
  </r>
  <r>
    <s v="Sistema de Compensação"/>
    <x v="3"/>
    <x v="2"/>
    <x v="0"/>
    <x v="0"/>
    <x v="0"/>
    <x v="0"/>
    <x v="2"/>
    <x v="0"/>
    <n v="0"/>
    <n v="0"/>
    <n v="9.1750000000000007"/>
    <n v="9.1750000000000007"/>
    <n v="9.1750000000000007"/>
    <n v="9.1750000000000007"/>
    <n v="6"/>
    <x v="0"/>
    <n v="0"/>
    <n v="0"/>
    <n v="66"/>
    <n v="10"/>
    <n v="0"/>
    <n v="501.48"/>
    <n v="150.26"/>
    <m/>
    <n v="590.21277757372172"/>
    <n v="136.62265710865657"/>
    <n v="0"/>
    <n v="4601.0790000000006"/>
    <n v="1378.6355000000001"/>
    <n v="0"/>
    <n v="5415.2022342388973"/>
    <n v="1253.512878971924"/>
  </r>
  <r>
    <s v="Regular"/>
    <x v="3"/>
    <x v="2"/>
    <x v="0"/>
    <x v="0"/>
    <x v="0"/>
    <x v="0"/>
    <x v="2"/>
    <x v="1"/>
    <n v="0"/>
    <n v="0"/>
    <n v="343.846"/>
    <n v="343.846"/>
    <n v="343.846"/>
    <n v="343.846"/>
    <n v="550"/>
    <x v="0"/>
    <n v="0"/>
    <n v="0"/>
    <n v="66"/>
    <n v="10"/>
    <n v="0"/>
    <n v="501.48"/>
    <n v="150.26"/>
    <m/>
    <n v="590.21277757372172"/>
    <n v="136.62265710865657"/>
    <n v="0"/>
    <n v="172431.89208000002"/>
    <n v="51666.299959999997"/>
    <n v="0"/>
    <n v="202942.30271761393"/>
    <n v="46977.154156183125"/>
  </r>
  <r>
    <s v="Refaturamento - Regular"/>
    <x v="3"/>
    <x v="2"/>
    <x v="0"/>
    <x v="0"/>
    <x v="0"/>
    <x v="0"/>
    <x v="2"/>
    <x v="1"/>
    <n v="0"/>
    <n v="0"/>
    <n v="0.91"/>
    <n v="0.91"/>
    <n v="0.91"/>
    <n v="0.91"/>
    <n v="0"/>
    <x v="0"/>
    <n v="0"/>
    <n v="0"/>
    <n v="66"/>
    <n v="10"/>
    <n v="0"/>
    <n v="501.48"/>
    <n v="150.26"/>
    <m/>
    <n v="590.21277757372172"/>
    <n v="136.62265710865657"/>
    <n v="0"/>
    <n v="456.34680000000003"/>
    <n v="136.73660000000001"/>
    <n v="0"/>
    <n v="537.09362759208682"/>
    <n v="124.32661796887749"/>
  </r>
  <r>
    <s v="Sistema de Compensação"/>
    <x v="3"/>
    <x v="2"/>
    <x v="0"/>
    <x v="0"/>
    <x v="0"/>
    <x v="0"/>
    <x v="2"/>
    <x v="1"/>
    <n v="0"/>
    <n v="0"/>
    <n v="6.0739999999999998"/>
    <n v="6.0739999999999998"/>
    <n v="6.0739999999999998"/>
    <n v="6.0739999999999998"/>
    <n v="6"/>
    <x v="0"/>
    <n v="0"/>
    <n v="0"/>
    <n v="66"/>
    <n v="10"/>
    <n v="0"/>
    <n v="501.48"/>
    <n v="150.26"/>
    <m/>
    <n v="590.21277757372172"/>
    <n v="136.62265710865657"/>
    <n v="0"/>
    <n v="3045.9895200000001"/>
    <n v="912.67923999999994"/>
    <n v="0"/>
    <n v="3584.9524109827858"/>
    <n v="829.84601927797996"/>
  </r>
  <r>
    <s v="Regular"/>
    <x v="3"/>
    <x v="2"/>
    <x v="0"/>
    <x v="0"/>
    <x v="0"/>
    <x v="0"/>
    <x v="2"/>
    <x v="2"/>
    <n v="0"/>
    <n v="0"/>
    <n v="330.74299999999999"/>
    <n v="330.74299999999999"/>
    <n v="330.74299999999999"/>
    <n v="330.74299999999999"/>
    <n v="553"/>
    <x v="0"/>
    <n v="0"/>
    <n v="0"/>
    <n v="66"/>
    <n v="10"/>
    <n v="0"/>
    <n v="501.48"/>
    <n v="150.26"/>
    <m/>
    <n v="590.21277757372172"/>
    <n v="136.62265710865657"/>
    <n v="0"/>
    <n v="165860.99963999999"/>
    <n v="49697.443179999995"/>
    <n v="0"/>
    <n v="195208.74469306544"/>
    <n v="45186.987480088399"/>
  </r>
  <r>
    <s v="Refaturamento - Regular"/>
    <x v="3"/>
    <x v="2"/>
    <x v="0"/>
    <x v="0"/>
    <x v="0"/>
    <x v="0"/>
    <x v="2"/>
    <x v="2"/>
    <n v="0"/>
    <n v="0"/>
    <n v="4.492"/>
    <n v="4.492"/>
    <n v="4.492"/>
    <n v="4.492"/>
    <n v="0"/>
    <x v="0"/>
    <n v="0"/>
    <n v="0"/>
    <n v="66"/>
    <n v="10"/>
    <n v="0"/>
    <n v="501.48"/>
    <n v="150.26"/>
    <m/>
    <n v="590.21277757372172"/>
    <n v="136.62265710865657"/>
    <n v="0"/>
    <n v="2252.6481600000002"/>
    <n v="674.96791999999994"/>
    <n v="0"/>
    <n v="2651.2357968611582"/>
    <n v="613.70897573208526"/>
  </r>
  <r>
    <s v="Sistema de Compensação"/>
    <x v="3"/>
    <x v="2"/>
    <x v="0"/>
    <x v="0"/>
    <x v="0"/>
    <x v="0"/>
    <x v="2"/>
    <x v="2"/>
    <n v="0"/>
    <n v="0"/>
    <n v="7.4939999999999998"/>
    <n v="7.4939999999999998"/>
    <n v="7.4939999999999998"/>
    <n v="7.4939999999999998"/>
    <n v="8"/>
    <x v="0"/>
    <n v="0"/>
    <n v="0"/>
    <n v="66"/>
    <n v="10"/>
    <n v="0"/>
    <n v="501.48"/>
    <n v="150.26"/>
    <m/>
    <n v="590.21277757372172"/>
    <n v="136.62265710865657"/>
    <n v="0"/>
    <n v="3758.09112"/>
    <n v="1126.0484399999998"/>
    <n v="0"/>
    <n v="4423.0545551374707"/>
    <n v="1023.8501923722723"/>
  </r>
  <r>
    <s v="Regular"/>
    <x v="3"/>
    <x v="2"/>
    <x v="0"/>
    <x v="0"/>
    <x v="0"/>
    <x v="0"/>
    <x v="2"/>
    <x v="3"/>
    <n v="0"/>
    <n v="0"/>
    <n v="357.19900000000001"/>
    <n v="357.19900000000001"/>
    <n v="357.19900000000001"/>
    <n v="357.19900000000001"/>
    <n v="559"/>
    <x v="0"/>
    <n v="0"/>
    <n v="0"/>
    <n v="66"/>
    <n v="10"/>
    <n v="0"/>
    <n v="501.48"/>
    <n v="150.26"/>
    <m/>
    <n v="590.21277757372172"/>
    <n v="136.62265710865657"/>
    <n v="0"/>
    <n v="179128.15452000001"/>
    <n v="53672.721740000001"/>
    <n v="0"/>
    <n v="210823.41393655582"/>
    <n v="48801.47649655502"/>
  </r>
  <r>
    <s v="Sistema de Compensação"/>
    <x v="3"/>
    <x v="2"/>
    <x v="0"/>
    <x v="0"/>
    <x v="0"/>
    <x v="0"/>
    <x v="2"/>
    <x v="3"/>
    <n v="0"/>
    <n v="0"/>
    <n v="4.8369999999999997"/>
    <n v="4.8369999999999997"/>
    <n v="4.8369999999999997"/>
    <n v="4.8369999999999997"/>
    <n v="8"/>
    <x v="0"/>
    <n v="0"/>
    <n v="0"/>
    <n v="66"/>
    <n v="10"/>
    <n v="0"/>
    <n v="501.48"/>
    <n v="150.26"/>
    <m/>
    <n v="590.21277757372172"/>
    <n v="136.62265710865657"/>
    <n v="0"/>
    <n v="2425.6587599999998"/>
    <n v="726.80761999999993"/>
    <n v="0"/>
    <n v="2854.8592051240917"/>
    <n v="660.84379243457181"/>
  </r>
  <r>
    <s v="Regular"/>
    <x v="3"/>
    <x v="2"/>
    <x v="0"/>
    <x v="0"/>
    <x v="0"/>
    <x v="0"/>
    <x v="2"/>
    <x v="4"/>
    <n v="0"/>
    <n v="0"/>
    <n v="375.02499999999998"/>
    <n v="375.02499999999998"/>
    <n v="375.02499999999998"/>
    <n v="375.02499999999998"/>
    <n v="559"/>
    <x v="0"/>
    <n v="0"/>
    <n v="0"/>
    <n v="66"/>
    <n v="10"/>
    <n v="0"/>
    <n v="501.48"/>
    <n v="150.26"/>
    <m/>
    <n v="590.21277757372172"/>
    <n v="136.62265710865657"/>
    <n v="0"/>
    <n v="188067.53699999998"/>
    <n v="56351.256499999996"/>
    <n v="0"/>
    <n v="221344.54690958498"/>
    <n v="51236.91198217393"/>
  </r>
  <r>
    <s v="Refaturamento - Regular"/>
    <x v="3"/>
    <x v="2"/>
    <x v="0"/>
    <x v="0"/>
    <x v="0"/>
    <x v="0"/>
    <x v="2"/>
    <x v="4"/>
    <n v="0"/>
    <n v="0"/>
    <n v="-0.56399999999999995"/>
    <n v="-0.56399999999999995"/>
    <n v="-0.56399999999999995"/>
    <n v="-0.56399999999999995"/>
    <n v="0"/>
    <x v="0"/>
    <n v="0"/>
    <n v="0"/>
    <n v="66"/>
    <n v="10"/>
    <n v="0"/>
    <n v="501.48"/>
    <n v="150.26"/>
    <m/>
    <n v="590.21277757372172"/>
    <n v="136.62265710865657"/>
    <n v="0"/>
    <n v="-282.83472"/>
    <n v="-84.746639999999985"/>
    <n v="0"/>
    <n v="-332.88000655157902"/>
    <n v="-77.055178609282294"/>
  </r>
  <r>
    <s v="Sistema de Compensação"/>
    <x v="3"/>
    <x v="2"/>
    <x v="0"/>
    <x v="0"/>
    <x v="0"/>
    <x v="0"/>
    <x v="2"/>
    <x v="4"/>
    <n v="0"/>
    <n v="0"/>
    <n v="0.9"/>
    <n v="0.9"/>
    <n v="0.9"/>
    <n v="0.9"/>
    <n v="9"/>
    <x v="0"/>
    <n v="0"/>
    <n v="0"/>
    <n v="66"/>
    <n v="10"/>
    <n v="0"/>
    <n v="501.48"/>
    <n v="150.26"/>
    <m/>
    <n v="590.21277757372172"/>
    <n v="136.62265710865657"/>
    <n v="0"/>
    <n v="451.33200000000005"/>
    <n v="135.23400000000001"/>
    <n v="0"/>
    <n v="531.19149981634962"/>
    <n v="122.96039139779091"/>
  </r>
  <r>
    <s v="Regular"/>
    <x v="3"/>
    <x v="2"/>
    <x v="0"/>
    <x v="0"/>
    <x v="0"/>
    <x v="0"/>
    <x v="2"/>
    <x v="5"/>
    <n v="0"/>
    <n v="0"/>
    <n v="433.52"/>
    <n v="433.52"/>
    <n v="433.52"/>
    <n v="433.52"/>
    <n v="562"/>
    <x v="0"/>
    <n v="0"/>
    <n v="0"/>
    <n v="66"/>
    <n v="10"/>
    <n v="0"/>
    <n v="501.48"/>
    <n v="150.26"/>
    <m/>
    <n v="590.21277757372172"/>
    <n v="136.62265710865657"/>
    <n v="0"/>
    <n v="217401.6096"/>
    <n v="65140.715199999991"/>
    <n v="0"/>
    <n v="255869.04333375982"/>
    <n v="59228.654309744794"/>
  </r>
  <r>
    <s v="Refaturamento - Regular"/>
    <x v="3"/>
    <x v="2"/>
    <x v="0"/>
    <x v="0"/>
    <x v="0"/>
    <x v="0"/>
    <x v="2"/>
    <x v="5"/>
    <n v="0"/>
    <n v="0"/>
    <n v="-0.42799999999999999"/>
    <n v="-0.42799999999999999"/>
    <n v="-0.42799999999999999"/>
    <n v="-0.42799999999999999"/>
    <n v="0"/>
    <x v="0"/>
    <n v="0"/>
    <n v="0"/>
    <n v="66"/>
    <n v="10"/>
    <n v="0"/>
    <n v="501.48"/>
    <n v="150.26"/>
    <m/>
    <n v="590.21277757372172"/>
    <n v="136.62265710865657"/>
    <n v="0"/>
    <n v="-214.63344000000001"/>
    <n v="-64.311279999999996"/>
    <n v="0"/>
    <n v="-252.6110688015529"/>
    <n v="-58.474497242505009"/>
  </r>
  <r>
    <s v="Sistema de Compensação"/>
    <x v="3"/>
    <x v="2"/>
    <x v="0"/>
    <x v="0"/>
    <x v="0"/>
    <x v="0"/>
    <x v="2"/>
    <x v="5"/>
    <n v="0"/>
    <n v="0"/>
    <n v="0.9"/>
    <n v="0.9"/>
    <n v="0.9"/>
    <n v="0.9"/>
    <n v="9"/>
    <x v="0"/>
    <n v="0"/>
    <n v="0"/>
    <n v="66"/>
    <n v="10"/>
    <n v="0"/>
    <n v="501.48"/>
    <n v="150.26"/>
    <m/>
    <n v="590.21277757372172"/>
    <n v="136.62265710865657"/>
    <n v="0"/>
    <n v="451.33200000000005"/>
    <n v="135.23400000000001"/>
    <n v="0"/>
    <n v="531.19149981634962"/>
    <n v="122.96039139779091"/>
  </r>
  <r>
    <s v="Regular"/>
    <x v="3"/>
    <x v="2"/>
    <x v="0"/>
    <x v="0"/>
    <x v="0"/>
    <x v="0"/>
    <x v="2"/>
    <x v="6"/>
    <n v="0"/>
    <n v="0"/>
    <n v="388.375"/>
    <n v="388.375"/>
    <n v="388.375"/>
    <n v="388.375"/>
    <n v="562"/>
    <x v="0"/>
    <n v="0"/>
    <n v="0"/>
    <n v="66"/>
    <n v="10"/>
    <n v="0"/>
    <n v="501.48"/>
    <n v="150.26"/>
    <m/>
    <n v="590.21277757372172"/>
    <n v="136.62265710865657"/>
    <n v="0"/>
    <n v="194762.29500000001"/>
    <n v="58357.227499999994"/>
    <n v="0"/>
    <n v="229223.88749019417"/>
    <n v="53060.824454574496"/>
  </r>
  <r>
    <s v="Refaturamento - Regular"/>
    <x v="3"/>
    <x v="2"/>
    <x v="0"/>
    <x v="0"/>
    <x v="0"/>
    <x v="0"/>
    <x v="2"/>
    <x v="6"/>
    <n v="0"/>
    <n v="0"/>
    <n v="-12.153"/>
    <n v="-12.153"/>
    <n v="-12.153"/>
    <n v="-12.153"/>
    <n v="0"/>
    <x v="0"/>
    <n v="0"/>
    <n v="0"/>
    <n v="66"/>
    <n v="10"/>
    <n v="0"/>
    <n v="501.48"/>
    <n v="150.26"/>
    <m/>
    <n v="590.21277757372172"/>
    <n v="136.62265710865657"/>
    <n v="0"/>
    <n v="-6094.4864400000006"/>
    <n v="-1826.10978"/>
    <n v="0"/>
    <n v="-7172.8558858534407"/>
    <n v="-1660.3751518415033"/>
  </r>
  <r>
    <s v="Sistema de Compensação"/>
    <x v="3"/>
    <x v="2"/>
    <x v="0"/>
    <x v="0"/>
    <x v="0"/>
    <x v="0"/>
    <x v="2"/>
    <x v="6"/>
    <n v="0"/>
    <n v="0"/>
    <n v="3.2440000000000002"/>
    <n v="3.2440000000000002"/>
    <n v="3.2440000000000002"/>
    <n v="3.2440000000000002"/>
    <n v="9"/>
    <x v="0"/>
    <n v="0"/>
    <n v="0"/>
    <n v="66"/>
    <n v="10"/>
    <n v="0"/>
    <n v="501.48"/>
    <n v="150.26"/>
    <m/>
    <n v="590.21277757372172"/>
    <n v="136.62265710865657"/>
    <n v="0"/>
    <n v="1626.8011200000001"/>
    <n v="487.44344000000001"/>
    <n v="0"/>
    <n v="1914.6502504491534"/>
    <n v="443.20389966048197"/>
  </r>
  <r>
    <s v="Regular"/>
    <x v="3"/>
    <x v="2"/>
    <x v="0"/>
    <x v="0"/>
    <x v="0"/>
    <x v="0"/>
    <x v="2"/>
    <x v="7"/>
    <n v="0"/>
    <n v="0"/>
    <n v="372.767"/>
    <n v="372.767"/>
    <n v="372.767"/>
    <n v="372.767"/>
    <n v="566"/>
    <x v="0"/>
    <n v="0"/>
    <n v="0"/>
    <n v="66"/>
    <n v="10"/>
    <n v="0"/>
    <n v="501.48"/>
    <n v="150.26"/>
    <m/>
    <n v="590.21277757372172"/>
    <n v="136.62265710865657"/>
    <n v="0"/>
    <n v="186935.19516"/>
    <n v="56011.969419999994"/>
    <n v="0"/>
    <n v="220011.84645782353"/>
    <n v="50928.418022422586"/>
  </r>
  <r>
    <s v="Refaturamento - Regular"/>
    <x v="3"/>
    <x v="2"/>
    <x v="0"/>
    <x v="0"/>
    <x v="0"/>
    <x v="0"/>
    <x v="2"/>
    <x v="7"/>
    <n v="0"/>
    <n v="0"/>
    <n v="-0.17499999999999999"/>
    <n v="-0.17499999999999999"/>
    <n v="-0.17499999999999999"/>
    <n v="-0.17499999999999999"/>
    <n v="0"/>
    <x v="0"/>
    <n v="0"/>
    <n v="0"/>
    <n v="66"/>
    <n v="10"/>
    <n v="0"/>
    <n v="501.48"/>
    <n v="150.26"/>
    <m/>
    <n v="590.21277757372172"/>
    <n v="136.62265710865657"/>
    <n v="0"/>
    <n v="-87.759"/>
    <n v="-26.295499999999997"/>
    <n v="0"/>
    <n v="-103.2872360754013"/>
    <n v="-23.908964994014898"/>
  </r>
  <r>
    <s v="Sistema de Compensação"/>
    <x v="3"/>
    <x v="2"/>
    <x v="0"/>
    <x v="0"/>
    <x v="0"/>
    <x v="0"/>
    <x v="2"/>
    <x v="7"/>
    <n v="0"/>
    <n v="0"/>
    <n v="4.6829999999999998"/>
    <n v="4.6829999999999998"/>
    <n v="4.6829999999999998"/>
    <n v="4.6829999999999998"/>
    <n v="9"/>
    <x v="0"/>
    <n v="0"/>
    <n v="0"/>
    <n v="66"/>
    <n v="10"/>
    <n v="0"/>
    <n v="501.48"/>
    <n v="150.26"/>
    <m/>
    <n v="590.21277757372172"/>
    <n v="136.62265710865657"/>
    <n v="0"/>
    <n v="2348.43084"/>
    <n v="703.66757999999993"/>
    <n v="0"/>
    <n v="2763.9664373777387"/>
    <n v="639.80390323983863"/>
  </r>
  <r>
    <s v="Regular"/>
    <x v="3"/>
    <x v="2"/>
    <x v="0"/>
    <x v="0"/>
    <x v="0"/>
    <x v="0"/>
    <x v="2"/>
    <x v="8"/>
    <n v="0"/>
    <n v="0"/>
    <n v="346.29300000000001"/>
    <n v="346.29300000000001"/>
    <n v="346.29300000000001"/>
    <n v="346.29300000000001"/>
    <n v="567"/>
    <x v="0"/>
    <n v="0"/>
    <n v="0"/>
    <n v="66"/>
    <n v="10"/>
    <n v="0"/>
    <n v="501.48"/>
    <n v="150.26"/>
    <m/>
    <n v="590.21277757372172"/>
    <n v="136.62265710865657"/>
    <n v="0"/>
    <n v="173659.01364000002"/>
    <n v="52033.98618"/>
    <n v="0"/>
    <n v="204386.55338433682"/>
    <n v="47311.469798128011"/>
  </r>
  <r>
    <s v="Sistema de Compensação"/>
    <x v="3"/>
    <x v="2"/>
    <x v="0"/>
    <x v="0"/>
    <x v="0"/>
    <x v="0"/>
    <x v="2"/>
    <x v="8"/>
    <n v="0"/>
    <n v="0"/>
    <n v="4.0880000000000001"/>
    <n v="4.0880000000000001"/>
    <n v="4.0880000000000001"/>
    <n v="4.0880000000000001"/>
    <n v="9"/>
    <x v="0"/>
    <n v="0"/>
    <n v="0"/>
    <n v="66"/>
    <n v="10"/>
    <n v="0"/>
    <n v="501.48"/>
    <n v="150.26"/>
    <m/>
    <n v="590.21277757372172"/>
    <n v="136.62265710865657"/>
    <n v="0"/>
    <n v="2050.05024"/>
    <n v="614.26288"/>
    <n v="0"/>
    <n v="2412.7898347213745"/>
    <n v="558.51342226018801"/>
  </r>
  <r>
    <s v="Regular"/>
    <x v="3"/>
    <x v="2"/>
    <x v="0"/>
    <x v="0"/>
    <x v="0"/>
    <x v="0"/>
    <x v="2"/>
    <x v="9"/>
    <n v="0"/>
    <n v="0"/>
    <n v="344.166"/>
    <n v="344.166"/>
    <n v="344.166"/>
    <n v="344.166"/>
    <n v="571"/>
    <x v="0"/>
    <n v="0"/>
    <n v="0"/>
    <n v="66"/>
    <n v="10"/>
    <n v="0"/>
    <n v="501.48"/>
    <n v="150.26"/>
    <m/>
    <n v="590.21277757372172"/>
    <n v="136.62265710865657"/>
    <n v="0"/>
    <n v="172592.36568000002"/>
    <n v="51714.383159999998"/>
    <n v="0"/>
    <n v="203131.1708064375"/>
    <n v="47020.873406457897"/>
  </r>
  <r>
    <s v="Sistema de Compensação"/>
    <x v="3"/>
    <x v="2"/>
    <x v="0"/>
    <x v="0"/>
    <x v="0"/>
    <x v="0"/>
    <x v="2"/>
    <x v="9"/>
    <n v="0"/>
    <n v="0"/>
    <n v="11.874000000000001"/>
    <n v="11.874000000000001"/>
    <n v="11.874000000000001"/>
    <n v="11.874000000000001"/>
    <n v="11"/>
    <x v="0"/>
    <n v="0"/>
    <n v="0"/>
    <n v="66"/>
    <n v="10"/>
    <n v="0"/>
    <n v="501.48"/>
    <n v="150.26"/>
    <m/>
    <n v="590.21277757372172"/>
    <n v="136.62265710865657"/>
    <n v="0"/>
    <n v="5954.5735200000008"/>
    <n v="1784.18724"/>
    <n v="0"/>
    <n v="7008.1865209103717"/>
    <n v="1622.2574305081882"/>
  </r>
  <r>
    <s v="Regular"/>
    <x v="3"/>
    <x v="2"/>
    <x v="0"/>
    <x v="0"/>
    <x v="0"/>
    <x v="0"/>
    <x v="2"/>
    <x v="10"/>
    <n v="0"/>
    <n v="0"/>
    <n v="353.32600000000002"/>
    <n v="353.32600000000002"/>
    <n v="353.32600000000002"/>
    <n v="353.32600000000002"/>
    <n v="575"/>
    <x v="0"/>
    <n v="0"/>
    <n v="0"/>
    <n v="66"/>
    <n v="10"/>
    <n v="0"/>
    <n v="501.48"/>
    <n v="150.26"/>
    <m/>
    <n v="590.21277757372172"/>
    <n v="136.62265710865657"/>
    <n v="0"/>
    <n v="177185.92248000001"/>
    <n v="53090.764759999998"/>
    <n v="0"/>
    <n v="208537.51984901281"/>
    <n v="48272.336945573195"/>
  </r>
  <r>
    <s v="Sistema de Compensação"/>
    <x v="3"/>
    <x v="2"/>
    <x v="0"/>
    <x v="0"/>
    <x v="0"/>
    <x v="0"/>
    <x v="2"/>
    <x v="10"/>
    <n v="0"/>
    <n v="0"/>
    <n v="15.151"/>
    <n v="15.151"/>
    <n v="15.151"/>
    <n v="15.151"/>
    <n v="11"/>
    <x v="0"/>
    <n v="0"/>
    <n v="0"/>
    <n v="66"/>
    <n v="10"/>
    <n v="0"/>
    <n v="501.48"/>
    <n v="150.26"/>
    <m/>
    <n v="590.21277757372172"/>
    <n v="136.62265710865657"/>
    <n v="0"/>
    <n v="7597.9234800000004"/>
    <n v="2276.5892599999997"/>
    <n v="0"/>
    <n v="8942.3137930194571"/>
    <n v="2069.9698778532556"/>
  </r>
  <r>
    <s v="PROJETADO"/>
    <x v="3"/>
    <x v="2"/>
    <x v="0"/>
    <x v="0"/>
    <x v="0"/>
    <x v="0"/>
    <x v="2"/>
    <x v="11"/>
    <n v="0"/>
    <n v="0"/>
    <n v="353.32600000000002"/>
    <n v="353.32600000000002"/>
    <n v="353.32600000000002"/>
    <n v="353.32600000000002"/>
    <n v="575"/>
    <x v="0"/>
    <n v="0"/>
    <n v="0"/>
    <n v="66"/>
    <n v="10"/>
    <n v="0"/>
    <n v="501.48"/>
    <n v="150.26"/>
    <m/>
    <n v="590.21277757372172"/>
    <n v="136.62265710865657"/>
    <n v="0"/>
    <n v="177185.92248000001"/>
    <n v="53090.764759999998"/>
    <n v="0"/>
    <n v="208537.51984901281"/>
    <n v="48272.336945573195"/>
  </r>
  <r>
    <s v="PROJETADO"/>
    <x v="3"/>
    <x v="2"/>
    <x v="0"/>
    <x v="0"/>
    <x v="0"/>
    <x v="0"/>
    <x v="2"/>
    <x v="11"/>
    <n v="0"/>
    <n v="0"/>
    <n v="15.151"/>
    <n v="15.151"/>
    <n v="15.151"/>
    <n v="15.151"/>
    <n v="11"/>
    <x v="0"/>
    <n v="0"/>
    <n v="0"/>
    <n v="66"/>
    <n v="10"/>
    <n v="0"/>
    <n v="501.48"/>
    <n v="150.26"/>
    <m/>
    <n v="590.21277757372172"/>
    <n v="136.62265710865657"/>
    <n v="0"/>
    <n v="7597.9234800000004"/>
    <n v="2276.5892599999997"/>
    <n v="0"/>
    <n v="8942.3137930194571"/>
    <n v="2069.9698778532556"/>
  </r>
  <r>
    <s v="Regular"/>
    <x v="3"/>
    <x v="2"/>
    <x v="2"/>
    <x v="0"/>
    <x v="0"/>
    <x v="0"/>
    <x v="2"/>
    <x v="0"/>
    <n v="0"/>
    <n v="0"/>
    <n v="66.316999999999993"/>
    <n v="66.316999999999993"/>
    <n v="66.316999999999993"/>
    <n v="66.316999999999993"/>
    <n v="125"/>
    <x v="0"/>
    <n v="0"/>
    <n v="0"/>
    <n v="66"/>
    <n v="10"/>
    <n v="0"/>
    <n v="501.48"/>
    <n v="150.26"/>
    <m/>
    <n v="590.21277757372172"/>
    <n v="136.62265710865657"/>
    <n v="0"/>
    <n v="33256.649160000001"/>
    <n v="9964.7924199999979"/>
    <n v="0"/>
    <n v="39141.140770356498"/>
    <n v="9060.4047514747763"/>
  </r>
  <r>
    <s v="Sistema de Compensação"/>
    <x v="3"/>
    <x v="2"/>
    <x v="2"/>
    <x v="0"/>
    <x v="0"/>
    <x v="0"/>
    <x v="2"/>
    <x v="0"/>
    <n v="0"/>
    <n v="0"/>
    <n v="1.5489999999999999"/>
    <n v="1.5489999999999999"/>
    <n v="1.5489999999999999"/>
    <n v="1.5489999999999999"/>
    <n v="2"/>
    <x v="0"/>
    <n v="0"/>
    <n v="0"/>
    <n v="66"/>
    <n v="10"/>
    <n v="0"/>
    <n v="501.48"/>
    <n v="150.26"/>
    <m/>
    <n v="590.21277757372172"/>
    <n v="136.62265710865657"/>
    <n v="0"/>
    <n v="776.79251999999997"/>
    <n v="232.75273999999999"/>
    <n v="0"/>
    <n v="914.23959246169488"/>
    <n v="211.62849586130901"/>
  </r>
  <r>
    <s v="Regular"/>
    <x v="3"/>
    <x v="2"/>
    <x v="2"/>
    <x v="0"/>
    <x v="0"/>
    <x v="0"/>
    <x v="2"/>
    <x v="1"/>
    <n v="0"/>
    <n v="0"/>
    <n v="66.320999999999998"/>
    <n v="66.320999999999998"/>
    <n v="66.320999999999998"/>
    <n v="66.320999999999998"/>
    <n v="125"/>
    <x v="0"/>
    <n v="0"/>
    <n v="0"/>
    <n v="66"/>
    <n v="10"/>
    <n v="0"/>
    <n v="501.48"/>
    <n v="150.26"/>
    <m/>
    <n v="590.21277757372172"/>
    <n v="136.62265710865657"/>
    <n v="0"/>
    <n v="33258.655079999997"/>
    <n v="9965.3934599999993"/>
    <n v="0"/>
    <n v="39143.501621466799"/>
    <n v="9060.9512421032123"/>
  </r>
  <r>
    <s v="Sistema de Compensação"/>
    <x v="3"/>
    <x v="2"/>
    <x v="2"/>
    <x v="0"/>
    <x v="0"/>
    <x v="0"/>
    <x v="2"/>
    <x v="1"/>
    <n v="0"/>
    <n v="0"/>
    <n v="1.5960000000000001"/>
    <n v="1.5960000000000001"/>
    <n v="1.5960000000000001"/>
    <n v="1.5960000000000001"/>
    <n v="2"/>
    <x v="0"/>
    <n v="0"/>
    <n v="0"/>
    <n v="66"/>
    <n v="10"/>
    <n v="0"/>
    <n v="501.48"/>
    <n v="150.26"/>
    <m/>
    <n v="590.21277757372172"/>
    <n v="136.62265710865657"/>
    <n v="0"/>
    <n v="800.36208000000011"/>
    <n v="239.81495999999999"/>
    <n v="0"/>
    <n v="941.9795930076599"/>
    <n v="218.04976074541588"/>
  </r>
  <r>
    <s v="Regular"/>
    <x v="3"/>
    <x v="2"/>
    <x v="2"/>
    <x v="0"/>
    <x v="0"/>
    <x v="0"/>
    <x v="2"/>
    <x v="2"/>
    <n v="0"/>
    <n v="0"/>
    <n v="77.125"/>
    <n v="77.125"/>
    <n v="77.125"/>
    <n v="77.125"/>
    <n v="125"/>
    <x v="0"/>
    <n v="0"/>
    <n v="0"/>
    <n v="66"/>
    <n v="10"/>
    <n v="0"/>
    <n v="501.48"/>
    <n v="150.26"/>
    <m/>
    <n v="590.21277757372172"/>
    <n v="136.62265710865657"/>
    <n v="0"/>
    <n v="38676.645000000004"/>
    <n v="11588.8025"/>
    <n v="0"/>
    <n v="45520.160470373288"/>
    <n v="10537.022429505138"/>
  </r>
  <r>
    <s v="Sistema de Compensação"/>
    <x v="3"/>
    <x v="2"/>
    <x v="2"/>
    <x v="0"/>
    <x v="0"/>
    <x v="0"/>
    <x v="2"/>
    <x v="2"/>
    <n v="0"/>
    <n v="0"/>
    <n v="1.577"/>
    <n v="1.577"/>
    <n v="1.577"/>
    <n v="1.577"/>
    <n v="2"/>
    <x v="0"/>
    <n v="0"/>
    <n v="0"/>
    <n v="66"/>
    <n v="10"/>
    <n v="0"/>
    <n v="501.48"/>
    <n v="150.26"/>
    <m/>
    <n v="590.21277757372172"/>
    <n v="136.62265710865657"/>
    <n v="0"/>
    <n v="790.83396000000005"/>
    <n v="236.96001999999999"/>
    <n v="0"/>
    <n v="930.76555023375909"/>
    <n v="215.4539302603514"/>
  </r>
  <r>
    <s v="Regular"/>
    <x v="3"/>
    <x v="2"/>
    <x v="2"/>
    <x v="0"/>
    <x v="0"/>
    <x v="0"/>
    <x v="2"/>
    <x v="3"/>
    <n v="0"/>
    <n v="0"/>
    <n v="82.063000000000002"/>
    <n v="82.063000000000002"/>
    <n v="82.063000000000002"/>
    <n v="82.063000000000002"/>
    <n v="126"/>
    <x v="0"/>
    <n v="0"/>
    <n v="0"/>
    <n v="66"/>
    <n v="10"/>
    <n v="0"/>
    <n v="501.48"/>
    <n v="150.26"/>
    <m/>
    <n v="590.21277757372172"/>
    <n v="136.62265710865657"/>
    <n v="0"/>
    <n v="41152.953240000003"/>
    <n v="12330.78638"/>
    <n v="0"/>
    <n v="48434.631166032326"/>
    <n v="11211.665110307684"/>
  </r>
  <r>
    <s v="Sistema de Compensação"/>
    <x v="3"/>
    <x v="2"/>
    <x v="2"/>
    <x v="0"/>
    <x v="0"/>
    <x v="0"/>
    <x v="2"/>
    <x v="3"/>
    <n v="0"/>
    <n v="0"/>
    <n v="1.9530000000000001"/>
    <n v="1.9530000000000001"/>
    <n v="1.9530000000000001"/>
    <n v="1.9530000000000001"/>
    <n v="2"/>
    <x v="0"/>
    <n v="0"/>
    <n v="0"/>
    <n v="66"/>
    <n v="10"/>
    <n v="0"/>
    <n v="501.48"/>
    <n v="150.26"/>
    <m/>
    <n v="590.21277757372172"/>
    <n v="136.62265710865657"/>
    <n v="0"/>
    <n v="979.39044000000013"/>
    <n v="293.45778000000001"/>
    <n v="0"/>
    <n v="1152.6855546014785"/>
    <n v="266.82404933320629"/>
  </r>
  <r>
    <s v="Regular"/>
    <x v="3"/>
    <x v="2"/>
    <x v="2"/>
    <x v="0"/>
    <x v="0"/>
    <x v="0"/>
    <x v="2"/>
    <x v="4"/>
    <n v="0"/>
    <n v="0"/>
    <n v="72.534000000000006"/>
    <n v="72.534000000000006"/>
    <n v="72.534000000000006"/>
    <n v="72.534000000000006"/>
    <n v="125"/>
    <x v="0"/>
    <n v="0"/>
    <n v="0"/>
    <n v="66"/>
    <n v="10"/>
    <n v="0"/>
    <n v="501.48"/>
    <n v="150.26"/>
    <m/>
    <n v="590.21277757372172"/>
    <n v="136.62265710865657"/>
    <n v="0"/>
    <n v="36374.350320000005"/>
    <n v="10898.958840000001"/>
    <n v="0"/>
    <n v="42810.493608532335"/>
    <n v="9909.7878107192955"/>
  </r>
  <r>
    <s v="Sistema de Compensação"/>
    <x v="3"/>
    <x v="2"/>
    <x v="2"/>
    <x v="0"/>
    <x v="0"/>
    <x v="0"/>
    <x v="2"/>
    <x v="4"/>
    <n v="0"/>
    <n v="0"/>
    <n v="0.2"/>
    <n v="0.2"/>
    <n v="0.2"/>
    <n v="0.2"/>
    <n v="2"/>
    <x v="0"/>
    <n v="0"/>
    <n v="0"/>
    <n v="66"/>
    <n v="10"/>
    <n v="0"/>
    <n v="501.48"/>
    <n v="150.26"/>
    <m/>
    <n v="590.21277757372172"/>
    <n v="136.62265710865657"/>
    <n v="0"/>
    <n v="100.29600000000001"/>
    <n v="30.052"/>
    <n v="0"/>
    <n v="118.04255551474435"/>
    <n v="27.324531421731315"/>
  </r>
  <r>
    <s v="Regular"/>
    <x v="3"/>
    <x v="2"/>
    <x v="2"/>
    <x v="0"/>
    <x v="0"/>
    <x v="0"/>
    <x v="2"/>
    <x v="5"/>
    <n v="0"/>
    <n v="0"/>
    <n v="99.385999999999996"/>
    <n v="99.385999999999996"/>
    <n v="99.385999999999996"/>
    <n v="99.385999999999996"/>
    <n v="124"/>
    <x v="0"/>
    <n v="0"/>
    <n v="0"/>
    <n v="66"/>
    <n v="10"/>
    <n v="0"/>
    <n v="501.48"/>
    <n v="150.26"/>
    <m/>
    <n v="590.21277757372172"/>
    <n v="136.62265710865657"/>
    <n v="0"/>
    <n v="49840.091280000001"/>
    <n v="14933.740359999998"/>
    <n v="0"/>
    <n v="58658.887111941905"/>
    <n v="13578.379399400941"/>
  </r>
  <r>
    <s v="Sistema de Compensação"/>
    <x v="3"/>
    <x v="2"/>
    <x v="2"/>
    <x v="0"/>
    <x v="0"/>
    <x v="0"/>
    <x v="2"/>
    <x v="5"/>
    <n v="0"/>
    <n v="0"/>
    <n v="0.749"/>
    <n v="0.749"/>
    <n v="0.749"/>
    <n v="0.749"/>
    <n v="2"/>
    <x v="0"/>
    <n v="0"/>
    <n v="0"/>
    <n v="66"/>
    <n v="10"/>
    <n v="0"/>
    <n v="501.48"/>
    <n v="150.26"/>
    <m/>
    <n v="590.21277757372172"/>
    <n v="136.62265710865657"/>
    <n v="0"/>
    <n v="375.60852"/>
    <n v="112.54473999999999"/>
    <n v="0"/>
    <n v="442.0693704027176"/>
    <n v="102.33037017438377"/>
  </r>
  <r>
    <s v="Regular"/>
    <x v="3"/>
    <x v="2"/>
    <x v="2"/>
    <x v="0"/>
    <x v="0"/>
    <x v="0"/>
    <x v="2"/>
    <x v="6"/>
    <n v="0"/>
    <n v="0"/>
    <n v="115.595"/>
    <n v="115.595"/>
    <n v="115.595"/>
    <n v="115.595"/>
    <n v="125"/>
    <x v="0"/>
    <n v="0"/>
    <n v="0"/>
    <n v="66"/>
    <n v="10"/>
    <n v="0"/>
    <n v="501.48"/>
    <n v="150.26"/>
    <m/>
    <n v="590.21277757372172"/>
    <n v="136.62265710865657"/>
    <n v="0"/>
    <n v="57968.580600000001"/>
    <n v="17369.304700000001"/>
    <n v="0"/>
    <n v="68225.646023634356"/>
    <n v="15792.896048475155"/>
  </r>
  <r>
    <s v="Sistema de Compensação"/>
    <x v="3"/>
    <x v="2"/>
    <x v="2"/>
    <x v="0"/>
    <x v="0"/>
    <x v="0"/>
    <x v="2"/>
    <x v="6"/>
    <n v="0"/>
    <n v="0"/>
    <n v="3.359"/>
    <n v="3.359"/>
    <n v="3.359"/>
    <n v="3.359"/>
    <n v="2"/>
    <x v="0"/>
    <n v="0"/>
    <n v="0"/>
    <n v="66"/>
    <n v="10"/>
    <n v="0"/>
    <n v="501.48"/>
    <n v="150.26"/>
    <m/>
    <n v="590.21277757372172"/>
    <n v="136.62265710865657"/>
    <n v="0"/>
    <n v="1684.4713200000001"/>
    <n v="504.72333999999995"/>
    <n v="0"/>
    <n v="1982.5247198701313"/>
    <n v="458.91550522797741"/>
  </r>
  <r>
    <s v="Regular"/>
    <x v="3"/>
    <x v="2"/>
    <x v="2"/>
    <x v="0"/>
    <x v="0"/>
    <x v="0"/>
    <x v="2"/>
    <x v="7"/>
    <n v="0"/>
    <n v="0"/>
    <n v="81.400000000000006"/>
    <n v="81.400000000000006"/>
    <n v="81.400000000000006"/>
    <n v="81.400000000000006"/>
    <n v="128"/>
    <x v="0"/>
    <n v="0"/>
    <n v="0"/>
    <n v="66"/>
    <n v="10"/>
    <n v="0"/>
    <n v="501.48"/>
    <n v="150.26"/>
    <m/>
    <n v="590.21277757372172"/>
    <n v="136.62265710865657"/>
    <n v="0"/>
    <n v="40820.472000000002"/>
    <n v="12231.164000000001"/>
    <n v="0"/>
    <n v="48043.320094500952"/>
    <n v="11121.084288644646"/>
  </r>
  <r>
    <s v="Sistema de Compensação"/>
    <x v="3"/>
    <x v="2"/>
    <x v="2"/>
    <x v="0"/>
    <x v="0"/>
    <x v="0"/>
    <x v="2"/>
    <x v="7"/>
    <n v="0"/>
    <n v="0"/>
    <n v="2.669"/>
    <n v="2.669"/>
    <n v="2.669"/>
    <n v="2.669"/>
    <n v="2"/>
    <x v="0"/>
    <n v="0"/>
    <n v="0"/>
    <n v="66"/>
    <n v="10"/>
    <n v="0"/>
    <n v="501.48"/>
    <n v="150.26"/>
    <m/>
    <n v="590.21277757372172"/>
    <n v="136.62265710865657"/>
    <n v="0"/>
    <n v="1338.45012"/>
    <n v="401.04393999999996"/>
    <n v="0"/>
    <n v="1575.2779033442632"/>
    <n v="364.64587182300437"/>
  </r>
  <r>
    <s v="Regular"/>
    <x v="3"/>
    <x v="2"/>
    <x v="2"/>
    <x v="0"/>
    <x v="0"/>
    <x v="0"/>
    <x v="2"/>
    <x v="8"/>
    <n v="0"/>
    <n v="0"/>
    <n v="69.819000000000003"/>
    <n v="69.819000000000003"/>
    <n v="69.819000000000003"/>
    <n v="69.819000000000003"/>
    <n v="128"/>
    <x v="0"/>
    <n v="0"/>
    <n v="0"/>
    <n v="66"/>
    <n v="10"/>
    <n v="0"/>
    <n v="501.48"/>
    <n v="150.26"/>
    <m/>
    <n v="590.21277757372172"/>
    <n v="136.62265710865657"/>
    <n v="0"/>
    <n v="35012.832119999999"/>
    <n v="10491.00294"/>
    <n v="0"/>
    <n v="41208.065917419677"/>
    <n v="9538.8572966692936"/>
  </r>
  <r>
    <s v="Sistema de Compensação"/>
    <x v="3"/>
    <x v="2"/>
    <x v="2"/>
    <x v="0"/>
    <x v="0"/>
    <x v="0"/>
    <x v="2"/>
    <x v="8"/>
    <n v="0"/>
    <n v="0"/>
    <n v="1.79"/>
    <n v="1.79"/>
    <n v="1.79"/>
    <n v="1.79"/>
    <n v="2"/>
    <x v="0"/>
    <n v="0"/>
    <n v="0"/>
    <n v="66"/>
    <n v="10"/>
    <n v="0"/>
    <n v="501.48"/>
    <n v="150.26"/>
    <m/>
    <n v="590.21277757372172"/>
    <n v="136.62265710865657"/>
    <n v="0"/>
    <n v="897.64920000000006"/>
    <n v="268.96539999999999"/>
    <n v="0"/>
    <n v="1056.4808718569618"/>
    <n v="244.55455622449526"/>
  </r>
  <r>
    <s v="Regular"/>
    <x v="3"/>
    <x v="2"/>
    <x v="2"/>
    <x v="0"/>
    <x v="0"/>
    <x v="0"/>
    <x v="2"/>
    <x v="9"/>
    <n v="0"/>
    <n v="0"/>
    <n v="71.867999999999995"/>
    <n v="71.867999999999995"/>
    <n v="71.867999999999995"/>
    <n v="71.867999999999995"/>
    <n v="128"/>
    <x v="0"/>
    <n v="0"/>
    <n v="0"/>
    <n v="66"/>
    <n v="10"/>
    <n v="0"/>
    <n v="501.48"/>
    <n v="150.26"/>
    <m/>
    <n v="590.21277757372172"/>
    <n v="136.62265710865657"/>
    <n v="0"/>
    <n v="36040.36464"/>
    <n v="10798.885679999999"/>
    <n v="0"/>
    <n v="42417.41189866823"/>
    <n v="9818.79712108493"/>
  </r>
  <r>
    <s v="Sistema de Compensação"/>
    <x v="3"/>
    <x v="2"/>
    <x v="2"/>
    <x v="0"/>
    <x v="0"/>
    <x v="0"/>
    <x v="2"/>
    <x v="9"/>
    <n v="0"/>
    <n v="0"/>
    <n v="0.66300000000000003"/>
    <n v="0.66300000000000003"/>
    <n v="0.66300000000000003"/>
    <n v="0.66300000000000003"/>
    <n v="2"/>
    <x v="0"/>
    <n v="0"/>
    <n v="0"/>
    <n v="66"/>
    <n v="10"/>
    <n v="0"/>
    <n v="501.48"/>
    <n v="150.26"/>
    <m/>
    <n v="590.21277757372172"/>
    <n v="136.62265710865657"/>
    <n v="0"/>
    <n v="332.48124000000001"/>
    <n v="99.622379999999993"/>
    <n v="0"/>
    <n v="391.31107153137754"/>
    <n v="90.580821663039316"/>
  </r>
  <r>
    <s v="Regular"/>
    <x v="3"/>
    <x v="2"/>
    <x v="2"/>
    <x v="0"/>
    <x v="0"/>
    <x v="0"/>
    <x v="2"/>
    <x v="10"/>
    <n v="0"/>
    <n v="0"/>
    <n v="65.524000000000001"/>
    <n v="65.524000000000001"/>
    <n v="65.524000000000001"/>
    <n v="65.524000000000001"/>
    <n v="128"/>
    <x v="0"/>
    <n v="0"/>
    <n v="0"/>
    <n v="66"/>
    <n v="10"/>
    <n v="0"/>
    <n v="501.48"/>
    <n v="150.26"/>
    <m/>
    <n v="590.21277757372172"/>
    <n v="136.62265710865657"/>
    <n v="0"/>
    <n v="32858.97552"/>
    <n v="9845.6362399999998"/>
    <n v="0"/>
    <n v="38673.102037740544"/>
    <n v="8952.0629843876122"/>
  </r>
  <r>
    <s v="Sistema de Compensação"/>
    <x v="3"/>
    <x v="2"/>
    <x v="2"/>
    <x v="0"/>
    <x v="0"/>
    <x v="0"/>
    <x v="2"/>
    <x v="10"/>
    <n v="0"/>
    <n v="0"/>
    <n v="0.48799999999999999"/>
    <n v="0.48799999999999999"/>
    <n v="0.48799999999999999"/>
    <n v="0.48799999999999999"/>
    <n v="2"/>
    <x v="0"/>
    <n v="0"/>
    <n v="0"/>
    <n v="66"/>
    <n v="10"/>
    <n v="0"/>
    <n v="501.48"/>
    <n v="150.26"/>
    <m/>
    <n v="590.21277757372172"/>
    <n v="136.62265710865657"/>
    <n v="0"/>
    <n v="244.72224"/>
    <n v="73.326879999999989"/>
    <n v="0"/>
    <n v="288.02383545597621"/>
    <n v="66.671856669024407"/>
  </r>
  <r>
    <s v="PROJETADO"/>
    <x v="3"/>
    <x v="2"/>
    <x v="2"/>
    <x v="0"/>
    <x v="0"/>
    <x v="0"/>
    <x v="2"/>
    <x v="11"/>
    <n v="0"/>
    <n v="0"/>
    <n v="65.524000000000001"/>
    <n v="65.524000000000001"/>
    <n v="65.524000000000001"/>
    <n v="65.524000000000001"/>
    <n v="128"/>
    <x v="0"/>
    <n v="0"/>
    <n v="0"/>
    <n v="66"/>
    <n v="10"/>
    <n v="0"/>
    <n v="501.48"/>
    <n v="150.26"/>
    <m/>
    <n v="590.21277757372172"/>
    <n v="136.62265710865657"/>
    <n v="0"/>
    <n v="32858.97552"/>
    <n v="9845.6362399999998"/>
    <n v="0"/>
    <n v="38673.102037740544"/>
    <n v="8952.0629843876122"/>
  </r>
  <r>
    <s v="PROJETADO"/>
    <x v="3"/>
    <x v="2"/>
    <x v="2"/>
    <x v="0"/>
    <x v="0"/>
    <x v="0"/>
    <x v="2"/>
    <x v="11"/>
    <n v="0"/>
    <n v="0"/>
    <n v="0.48799999999999999"/>
    <n v="0.48799999999999999"/>
    <n v="0.48799999999999999"/>
    <n v="0.48799999999999999"/>
    <n v="2"/>
    <x v="0"/>
    <n v="0"/>
    <n v="0"/>
    <n v="66"/>
    <n v="10"/>
    <n v="0"/>
    <n v="501.48"/>
    <n v="150.26"/>
    <m/>
    <n v="590.21277757372172"/>
    <n v="136.62265710865657"/>
    <n v="0"/>
    <n v="244.72224"/>
    <n v="73.326879999999989"/>
    <n v="0"/>
    <n v="288.02383545597621"/>
    <n v="66.671856669024407"/>
  </r>
  <r>
    <s v="Regular"/>
    <x v="3"/>
    <x v="2"/>
    <x v="4"/>
    <x v="1"/>
    <x v="0"/>
    <x v="0"/>
    <x v="2"/>
    <x v="0"/>
    <n v="0"/>
    <n v="0"/>
    <n v="17.172999999999998"/>
    <n v="16.142619999999997"/>
    <n v="17.172999999999998"/>
    <n v="16.142619999999997"/>
    <n v="33"/>
    <x v="0"/>
    <n v="0"/>
    <n v="0"/>
    <n v="66"/>
    <n v="10"/>
    <n v="0"/>
    <n v="501.48"/>
    <n v="150.26"/>
    <m/>
    <n v="590.21277757372172"/>
    <n v="136.62265710865657"/>
    <n v="0"/>
    <n v="8095.2010775999988"/>
    <n v="2425.5900811999995"/>
    <n v="0"/>
    <n v="9527.58058751711"/>
    <n v="2205.4476370953412"/>
  </r>
  <r>
    <s v="Regular"/>
    <x v="3"/>
    <x v="2"/>
    <x v="4"/>
    <x v="1"/>
    <x v="0"/>
    <x v="0"/>
    <x v="2"/>
    <x v="1"/>
    <n v="0"/>
    <n v="0"/>
    <n v="16.812000000000001"/>
    <n v="15.803280000000001"/>
    <n v="16.812000000000001"/>
    <n v="15.803280000000001"/>
    <n v="33"/>
    <x v="0"/>
    <n v="0"/>
    <n v="0"/>
    <n v="66"/>
    <n v="10"/>
    <n v="0"/>
    <n v="501.48"/>
    <n v="150.26"/>
    <m/>
    <n v="590.21277757372172"/>
    <n v="136.62265710865657"/>
    <n v="0"/>
    <n v="7925.0288544000005"/>
    <n v="2374.6008528000002"/>
    <n v="0"/>
    <n v="9327.2977835752463"/>
    <n v="2159.0861046320902"/>
  </r>
  <r>
    <s v="Regular"/>
    <x v="3"/>
    <x v="2"/>
    <x v="4"/>
    <x v="1"/>
    <x v="0"/>
    <x v="0"/>
    <x v="2"/>
    <x v="2"/>
    <n v="0"/>
    <n v="0"/>
    <n v="18.056999999999999"/>
    <n v="16.973579999999998"/>
    <n v="18.056999999999999"/>
    <n v="16.973579999999998"/>
    <n v="33"/>
    <x v="0"/>
    <n v="0"/>
    <n v="0"/>
    <n v="66"/>
    <n v="10"/>
    <n v="0"/>
    <n v="501.48"/>
    <n v="150.26"/>
    <m/>
    <n v="590.21277757372172"/>
    <n v="136.62265710865657"/>
    <n v="0"/>
    <n v="8511.9108983999995"/>
    <n v="2550.4501307999994"/>
    <n v="0"/>
    <n v="10018.02379716977"/>
    <n v="2318.975600246351"/>
  </r>
  <r>
    <s v="Regular"/>
    <x v="3"/>
    <x v="2"/>
    <x v="4"/>
    <x v="1"/>
    <x v="0"/>
    <x v="0"/>
    <x v="2"/>
    <x v="3"/>
    <n v="0"/>
    <n v="0"/>
    <n v="18.302"/>
    <n v="17.203880000000002"/>
    <n v="18.302"/>
    <n v="17.203880000000002"/>
    <n v="35"/>
    <x v="0"/>
    <n v="0"/>
    <n v="0"/>
    <n v="66"/>
    <n v="10"/>
    <n v="0"/>
    <n v="501.48"/>
    <n v="150.26"/>
    <m/>
    <n v="590.21277757372172"/>
    <n v="136.62265710865657"/>
    <n v="0"/>
    <n v="8627.4017424000012"/>
    <n v="2585.0550088"/>
    <n v="0"/>
    <n v="10153.949799845001"/>
    <n v="2350.4397981784746"/>
  </r>
  <r>
    <s v="Regular"/>
    <x v="3"/>
    <x v="2"/>
    <x v="4"/>
    <x v="1"/>
    <x v="0"/>
    <x v="0"/>
    <x v="2"/>
    <x v="4"/>
    <n v="0"/>
    <n v="0"/>
    <n v="21.271999999999998"/>
    <n v="19.99568"/>
    <n v="21.271999999999998"/>
    <n v="19.99568"/>
    <n v="35"/>
    <x v="0"/>
    <n v="0"/>
    <n v="0"/>
    <n v="66"/>
    <n v="10"/>
    <n v="0"/>
    <n v="501.48"/>
    <n v="150.26"/>
    <m/>
    <n v="590.21277757372172"/>
    <n v="136.62265710865657"/>
    <n v="0"/>
    <n v="10027.4336064"/>
    <n v="3004.5508768"/>
    <n v="0"/>
    <n v="11801.705832275316"/>
    <n v="2731.8629322944221"/>
  </r>
  <r>
    <s v="Regular"/>
    <x v="3"/>
    <x v="2"/>
    <x v="4"/>
    <x v="1"/>
    <x v="0"/>
    <x v="0"/>
    <x v="2"/>
    <x v="5"/>
    <n v="0"/>
    <n v="0"/>
    <n v="24.638999999999999"/>
    <n v="23.16066"/>
    <n v="24.638999999999999"/>
    <n v="23.16066"/>
    <n v="35"/>
    <x v="0"/>
    <n v="0"/>
    <n v="0"/>
    <n v="66"/>
    <n v="10"/>
    <n v="0"/>
    <n v="501.48"/>
    <n v="150.26"/>
    <m/>
    <n v="590.21277757372172"/>
    <n v="136.62265710865657"/>
    <n v="0"/>
    <n v="11614.6077768"/>
    <n v="3480.1207715999999"/>
    <n v="0"/>
    <n v="13669.717469040594"/>
    <n v="3164.2709095901778"/>
  </r>
  <r>
    <s v="Regular"/>
    <x v="3"/>
    <x v="2"/>
    <x v="4"/>
    <x v="1"/>
    <x v="0"/>
    <x v="0"/>
    <x v="2"/>
    <x v="6"/>
    <n v="0"/>
    <n v="0"/>
    <n v="22.068000000000001"/>
    <n v="20.743919999999999"/>
    <n v="22.068000000000001"/>
    <n v="20.743919999999999"/>
    <n v="35"/>
    <x v="0"/>
    <n v="0"/>
    <n v="0"/>
    <n v="66"/>
    <n v="10"/>
    <n v="0"/>
    <n v="501.48"/>
    <n v="150.26"/>
    <m/>
    <n v="590.21277757372172"/>
    <n v="136.62265710865657"/>
    <n v="0"/>
    <n v="10402.6610016"/>
    <n v="3116.9814191999999"/>
    <n v="0"/>
    <n v="12243.326640967078"/>
    <n v="2834.089469249403"/>
  </r>
  <r>
    <s v="Regular"/>
    <x v="3"/>
    <x v="2"/>
    <x v="4"/>
    <x v="1"/>
    <x v="0"/>
    <x v="0"/>
    <x v="2"/>
    <x v="7"/>
    <n v="0"/>
    <n v="0"/>
    <n v="20.841000000000001"/>
    <n v="19.590540000000001"/>
    <n v="20.841000000000001"/>
    <n v="19.590540000000001"/>
    <n v="35"/>
    <x v="0"/>
    <n v="0"/>
    <n v="0"/>
    <n v="66"/>
    <n v="10"/>
    <n v="0"/>
    <n v="501.48"/>
    <n v="150.26"/>
    <m/>
    <n v="590.21277757372172"/>
    <n v="136.62265710865657"/>
    <n v="0"/>
    <n v="9824.2639992000004"/>
    <n v="2943.6745403999998"/>
    <n v="0"/>
    <n v="11562.5870275691"/>
    <n v="2676.5116289934208"/>
  </r>
  <r>
    <s v="Regular"/>
    <x v="3"/>
    <x v="2"/>
    <x v="4"/>
    <x v="1"/>
    <x v="0"/>
    <x v="0"/>
    <x v="2"/>
    <x v="8"/>
    <n v="0"/>
    <n v="0"/>
    <n v="19.794"/>
    <n v="18.606359999999999"/>
    <n v="19.794"/>
    <n v="18.606359999999999"/>
    <n v="35"/>
    <x v="0"/>
    <n v="0"/>
    <n v="0"/>
    <n v="66"/>
    <n v="10"/>
    <n v="0"/>
    <n v="501.48"/>
    <n v="150.26"/>
    <m/>
    <n v="590.21277757372172"/>
    <n v="136.62265710865657"/>
    <n v="0"/>
    <n v="9330.7174127999988"/>
    <n v="2795.7916535999998"/>
    <n v="0"/>
    <n v="10981.711416136592"/>
    <n v="2542.0503423202231"/>
  </r>
  <r>
    <s v="Regular"/>
    <x v="3"/>
    <x v="2"/>
    <x v="4"/>
    <x v="1"/>
    <x v="0"/>
    <x v="0"/>
    <x v="2"/>
    <x v="9"/>
    <n v="0"/>
    <n v="0"/>
    <n v="21.469000000000001"/>
    <n v="20.180859999999999"/>
    <n v="21.469000000000001"/>
    <n v="20.180859999999999"/>
    <n v="35"/>
    <x v="0"/>
    <n v="0"/>
    <n v="0"/>
    <n v="66"/>
    <n v="10"/>
    <n v="0"/>
    <n v="501.48"/>
    <n v="150.26"/>
    <m/>
    <n v="590.21277757372172"/>
    <n v="136.62265710865657"/>
    <n v="0"/>
    <n v="10120.297672799999"/>
    <n v="3032.3760235999998"/>
    <n v="0"/>
    <n v="11911.001434426416"/>
    <n v="2757.1627159378027"/>
  </r>
  <r>
    <s v="Regular"/>
    <x v="3"/>
    <x v="2"/>
    <x v="4"/>
    <x v="1"/>
    <x v="0"/>
    <x v="0"/>
    <x v="2"/>
    <x v="10"/>
    <n v="0"/>
    <n v="0"/>
    <n v="20.888000000000002"/>
    <n v="19.634720000000002"/>
    <n v="20.888000000000002"/>
    <n v="19.634720000000002"/>
    <n v="35"/>
    <x v="0"/>
    <n v="0"/>
    <n v="0"/>
    <n v="66"/>
    <n v="10"/>
    <n v="0"/>
    <n v="501.48"/>
    <n v="150.26"/>
    <m/>
    <n v="590.21277757372172"/>
    <n v="136.62265710865657"/>
    <n v="0"/>
    <n v="9846.419385600002"/>
    <n v="2950.3130271999999"/>
    <n v="0"/>
    <n v="11588.662628082306"/>
    <n v="2682.5476179844813"/>
  </r>
  <r>
    <s v="PROJETADO"/>
    <x v="3"/>
    <x v="2"/>
    <x v="4"/>
    <x v="1"/>
    <x v="0"/>
    <x v="0"/>
    <x v="2"/>
    <x v="11"/>
    <n v="0"/>
    <n v="0"/>
    <n v="20.888000000000002"/>
    <n v="19.634720000000002"/>
    <n v="20.888000000000002"/>
    <n v="19.634720000000002"/>
    <n v="35"/>
    <x v="0"/>
    <n v="0"/>
    <n v="0"/>
    <n v="66"/>
    <n v="10"/>
    <n v="0"/>
    <n v="501.48"/>
    <n v="150.26"/>
    <m/>
    <n v="590.21277757372172"/>
    <n v="136.62265710865657"/>
    <n v="0"/>
    <n v="9846.419385600002"/>
    <n v="2950.3130271999999"/>
    <n v="0"/>
    <n v="11588.662628082306"/>
    <n v="2682.5476179844813"/>
  </r>
  <r>
    <s v="Regular"/>
    <x v="4"/>
    <x v="2"/>
    <x v="7"/>
    <x v="8"/>
    <x v="0"/>
    <x v="0"/>
    <x v="2"/>
    <x v="0"/>
    <n v="0"/>
    <n v="0"/>
    <n v="432.84500000000003"/>
    <n v="432.84500000000003"/>
    <n v="432.84500000000003"/>
    <n v="432.84500000000003"/>
    <n v="6"/>
    <x v="0"/>
    <n v="0"/>
    <n v="0"/>
    <n v="63"/>
    <n v="12"/>
    <n v="0"/>
    <n v="275.82"/>
    <n v="82.64"/>
    <m/>
    <n v="324.61702766554697"/>
    <n v="75.142461409761111"/>
    <n v="0"/>
    <n v="119387.3079"/>
    <n v="35770.310799999999"/>
    <n v="0"/>
    <n v="140508.8573398937"/>
    <n v="32525.03870890805"/>
  </r>
  <r>
    <s v="Regular"/>
    <x v="4"/>
    <x v="2"/>
    <x v="7"/>
    <x v="8"/>
    <x v="0"/>
    <x v="0"/>
    <x v="2"/>
    <x v="1"/>
    <n v="0"/>
    <n v="0"/>
    <n v="398.983"/>
    <n v="398.983"/>
    <n v="398.983"/>
    <n v="398.983"/>
    <n v="6"/>
    <x v="0"/>
    <n v="0"/>
    <n v="0"/>
    <n v="63"/>
    <n v="12"/>
    <n v="0"/>
    <n v="275.82"/>
    <n v="82.64"/>
    <m/>
    <n v="324.61702766554697"/>
    <n v="75.142461409761111"/>
    <n v="0"/>
    <n v="110047.49106"/>
    <n v="32971.955119999999"/>
    <n v="0"/>
    <n v="129516.67554908292"/>
    <n v="29980.564680650717"/>
  </r>
  <r>
    <s v="Regular"/>
    <x v="4"/>
    <x v="2"/>
    <x v="7"/>
    <x v="8"/>
    <x v="0"/>
    <x v="0"/>
    <x v="2"/>
    <x v="2"/>
    <n v="0"/>
    <n v="0"/>
    <n v="370.55399999999997"/>
    <n v="370.55399999999997"/>
    <n v="370.55399999999997"/>
    <n v="370.55399999999997"/>
    <n v="6"/>
    <x v="0"/>
    <n v="0"/>
    <n v="0"/>
    <n v="63"/>
    <n v="12"/>
    <n v="0"/>
    <n v="275.82"/>
    <n v="82.64"/>
    <m/>
    <n v="324.61702766554697"/>
    <n v="75.142461409761111"/>
    <n v="0"/>
    <n v="102206.20427999999"/>
    <n v="30622.582559999999"/>
    <n v="0"/>
    <n v="120288.13806957909"/>
    <n v="27844.339645232616"/>
  </r>
  <r>
    <s v="Regular"/>
    <x v="4"/>
    <x v="2"/>
    <x v="7"/>
    <x v="8"/>
    <x v="0"/>
    <x v="0"/>
    <x v="2"/>
    <x v="3"/>
    <n v="0"/>
    <n v="0"/>
    <n v="359.423"/>
    <n v="359.423"/>
    <n v="359.423"/>
    <n v="359.423"/>
    <n v="6"/>
    <x v="0"/>
    <n v="0"/>
    <n v="0"/>
    <n v="63"/>
    <n v="12"/>
    <n v="0"/>
    <n v="275.82"/>
    <n v="82.64"/>
    <m/>
    <n v="324.61702766554697"/>
    <n v="75.142461409761111"/>
    <n v="0"/>
    <n v="99136.051859999992"/>
    <n v="29702.71672"/>
    <n v="0"/>
    <n v="116674.82593463389"/>
    <n v="27007.92890728057"/>
  </r>
  <r>
    <s v="Regular"/>
    <x v="4"/>
    <x v="2"/>
    <x v="7"/>
    <x v="8"/>
    <x v="0"/>
    <x v="0"/>
    <x v="2"/>
    <x v="4"/>
    <n v="0"/>
    <n v="0"/>
    <n v="364.65699999999998"/>
    <n v="364.65699999999998"/>
    <n v="364.65699999999998"/>
    <n v="364.65699999999998"/>
    <n v="6"/>
    <x v="0"/>
    <n v="0"/>
    <n v="0"/>
    <n v="63"/>
    <n v="12"/>
    <n v="0"/>
    <n v="275.82"/>
    <n v="82.64"/>
    <m/>
    <n v="324.61702766554697"/>
    <n v="75.142461409761111"/>
    <n v="0"/>
    <n v="100579.69373999999"/>
    <n v="30135.25448"/>
    <n v="0"/>
    <n v="118373.87145743535"/>
    <n v="27401.224550299255"/>
  </r>
  <r>
    <s v="Regular"/>
    <x v="4"/>
    <x v="2"/>
    <x v="7"/>
    <x v="8"/>
    <x v="0"/>
    <x v="0"/>
    <x v="2"/>
    <x v="5"/>
    <n v="0"/>
    <n v="0"/>
    <n v="388.91399999999999"/>
    <n v="388.91399999999999"/>
    <n v="388.91399999999999"/>
    <n v="388.91399999999999"/>
    <n v="6"/>
    <x v="0"/>
    <n v="0"/>
    <n v="0"/>
    <n v="63"/>
    <n v="12"/>
    <n v="0"/>
    <n v="275.82"/>
    <n v="82.64"/>
    <m/>
    <n v="324.61702766554697"/>
    <n v="75.142461409761111"/>
    <n v="0"/>
    <n v="107270.25947999999"/>
    <n v="32139.85296"/>
    <n v="0"/>
    <n v="126248.10669751852"/>
    <n v="29223.955236715832"/>
  </r>
  <r>
    <s v="Regular"/>
    <x v="4"/>
    <x v="2"/>
    <x v="7"/>
    <x v="8"/>
    <x v="0"/>
    <x v="0"/>
    <x v="2"/>
    <x v="6"/>
    <n v="0"/>
    <n v="0"/>
    <n v="420.53800000000001"/>
    <n v="420.53800000000001"/>
    <n v="420.53800000000001"/>
    <n v="420.53800000000001"/>
    <n v="6"/>
    <x v="0"/>
    <n v="0"/>
    <n v="0"/>
    <n v="63"/>
    <n v="12"/>
    <n v="0"/>
    <n v="275.82"/>
    <n v="82.64"/>
    <m/>
    <n v="324.61702766554697"/>
    <n v="75.142461409761111"/>
    <n v="0"/>
    <n v="115992.79115999999"/>
    <n v="34753.260320000001"/>
    <n v="0"/>
    <n v="136513.7955804138"/>
    <n v="31600.260436338118"/>
  </r>
  <r>
    <s v="Regular"/>
    <x v="4"/>
    <x v="2"/>
    <x v="7"/>
    <x v="8"/>
    <x v="0"/>
    <x v="0"/>
    <x v="2"/>
    <x v="7"/>
    <n v="0"/>
    <n v="0"/>
    <n v="452.99599999999998"/>
    <n v="452.99599999999998"/>
    <n v="452.99599999999998"/>
    <n v="452.99599999999998"/>
    <n v="6"/>
    <x v="0"/>
    <n v="0"/>
    <n v="0"/>
    <n v="63"/>
    <n v="12"/>
    <n v="0"/>
    <n v="275.82"/>
    <n v="82.64"/>
    <m/>
    <n v="324.61702766554697"/>
    <n v="75.142461409761111"/>
    <n v="0"/>
    <n v="124945.35672"/>
    <n v="37435.589439999996"/>
    <n v="0"/>
    <n v="147050.21506438212"/>
    <n v="34039.234448776144"/>
  </r>
  <r>
    <s v="Regular"/>
    <x v="4"/>
    <x v="2"/>
    <x v="7"/>
    <x v="8"/>
    <x v="0"/>
    <x v="0"/>
    <x v="2"/>
    <x v="8"/>
    <n v="0"/>
    <n v="0"/>
    <n v="479.12"/>
    <n v="479.12"/>
    <n v="479.12"/>
    <n v="479.12"/>
    <n v="6"/>
    <x v="0"/>
    <n v="0"/>
    <n v="0"/>
    <n v="63"/>
    <n v="12"/>
    <n v="0"/>
    <n v="275.82"/>
    <n v="82.64"/>
    <m/>
    <n v="324.61702766554697"/>
    <n v="75.142461409761111"/>
    <n v="0"/>
    <n v="132150.87839999999"/>
    <n v="39594.476800000004"/>
    <n v="0"/>
    <n v="155530.51029511687"/>
    <n v="36002.256110644747"/>
  </r>
  <r>
    <s v="Regular"/>
    <x v="4"/>
    <x v="2"/>
    <x v="7"/>
    <x v="8"/>
    <x v="0"/>
    <x v="0"/>
    <x v="2"/>
    <x v="9"/>
    <n v="0"/>
    <n v="0"/>
    <n v="492.63400000000001"/>
    <n v="492.63400000000001"/>
    <n v="492.63400000000001"/>
    <n v="492.63400000000001"/>
    <n v="6"/>
    <x v="0"/>
    <n v="0"/>
    <n v="0"/>
    <n v="63"/>
    <n v="12"/>
    <n v="0"/>
    <n v="275.82"/>
    <n v="82.64"/>
    <m/>
    <n v="324.61702766554697"/>
    <n v="75.142461409761111"/>
    <n v="0"/>
    <n v="135878.30987999999"/>
    <n v="40711.273760000004"/>
    <n v="0"/>
    <n v="159917.38480698908"/>
    <n v="37017.731334136253"/>
  </r>
  <r>
    <s v="Regular"/>
    <x v="4"/>
    <x v="2"/>
    <x v="7"/>
    <x v="8"/>
    <x v="0"/>
    <x v="0"/>
    <x v="2"/>
    <x v="10"/>
    <n v="0"/>
    <n v="0"/>
    <n v="488.19900000000001"/>
    <n v="488.19900000000001"/>
    <n v="488.19900000000001"/>
    <n v="488.19900000000001"/>
    <n v="6"/>
    <x v="0"/>
    <n v="0"/>
    <n v="0"/>
    <n v="63"/>
    <n v="12"/>
    <n v="0"/>
    <n v="275.82"/>
    <n v="82.64"/>
    <m/>
    <n v="324.61702766554697"/>
    <n v="75.142461409761111"/>
    <n v="0"/>
    <n v="134655.04818000001"/>
    <n v="40344.765360000005"/>
    <n v="0"/>
    <n v="158477.70828929238"/>
    <n v="36684.474517783965"/>
  </r>
  <r>
    <s v="PROJETADO"/>
    <x v="4"/>
    <x v="2"/>
    <x v="7"/>
    <x v="8"/>
    <x v="0"/>
    <x v="0"/>
    <x v="2"/>
    <x v="11"/>
    <n v="0"/>
    <n v="0"/>
    <n v="488.19900000000001"/>
    <n v="488.19900000000001"/>
    <n v="488.19900000000001"/>
    <n v="488.19900000000001"/>
    <n v="6"/>
    <x v="0"/>
    <n v="0"/>
    <n v="0"/>
    <n v="63"/>
    <n v="12"/>
    <n v="0"/>
    <n v="275.82"/>
    <n v="82.64"/>
    <m/>
    <n v="324.61702766554697"/>
    <n v="75.142461409761111"/>
    <n v="0"/>
    <n v="134655.04818000001"/>
    <n v="40344.765360000005"/>
    <n v="0"/>
    <n v="158477.70828929238"/>
    <n v="36684.4745177839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s v="Regular"/>
    <x v="0"/>
    <x v="0"/>
    <x v="0"/>
    <x v="0"/>
    <x v="0"/>
    <x v="0"/>
    <x v="0"/>
    <x v="0"/>
    <n v="0"/>
    <n v="0"/>
    <n v="35.457000000000001"/>
    <n v="34.038719999999998"/>
    <n v="35.457000000000001"/>
    <n v="34.038719999999998"/>
    <n v="0"/>
    <s v="CATIVO"/>
    <n v="0"/>
    <n v="0"/>
    <n v="50"/>
    <n v="61"/>
    <n v="0"/>
    <n v="60.38"/>
    <n v="150.26"/>
    <m/>
    <n v="94.517694765168258"/>
    <n v="136.62265710865657"/>
    <n v="0"/>
    <n v="298.74649920000059"/>
    <n v="0"/>
    <n v="327.82173825560892"/>
    <x v="0"/>
  </r>
  <r>
    <s v="Regular"/>
    <x v="0"/>
    <x v="0"/>
    <x v="0"/>
    <x v="0"/>
    <x v="0"/>
    <x v="0"/>
    <x v="0"/>
    <x v="1"/>
    <n v="0"/>
    <n v="0"/>
    <n v="36.095999999999997"/>
    <n v="34.652159999999995"/>
    <n v="36.095999999999997"/>
    <n v="34.652159999999995"/>
    <n v="0"/>
    <s v="CATIVO"/>
    <n v="0"/>
    <n v="0"/>
    <n v="50"/>
    <n v="61"/>
    <n v="0"/>
    <n v="60.38"/>
    <n v="150.26"/>
    <m/>
    <n v="94.517694765168258"/>
    <n v="136.62265710865657"/>
    <n v="0"/>
    <n v="304.13045760000034"/>
    <n v="0"/>
    <n v="333.72968564950361"/>
    <x v="0"/>
  </r>
  <r>
    <s v="Regular"/>
    <x v="0"/>
    <x v="0"/>
    <x v="0"/>
    <x v="0"/>
    <x v="0"/>
    <x v="0"/>
    <x v="0"/>
    <x v="2"/>
    <n v="0"/>
    <n v="0"/>
    <n v="37.720999999999997"/>
    <n v="36.212159999999997"/>
    <n v="37.720999999999997"/>
    <n v="36.212159999999997"/>
    <n v="0"/>
    <s v="CATIVO"/>
    <n v="0"/>
    <n v="0"/>
    <n v="50"/>
    <n v="61"/>
    <n v="0"/>
    <n v="60.38"/>
    <n v="150.26"/>
    <m/>
    <n v="94.517694765168258"/>
    <n v="136.62265710865657"/>
    <n v="0"/>
    <n v="317.82205759999982"/>
    <n v="0"/>
    <n v="348.75380852130172"/>
    <x v="0"/>
  </r>
  <r>
    <s v="Regular"/>
    <x v="0"/>
    <x v="0"/>
    <x v="0"/>
    <x v="0"/>
    <x v="0"/>
    <x v="0"/>
    <x v="0"/>
    <x v="3"/>
    <n v="0"/>
    <n v="0"/>
    <n v="39.991"/>
    <n v="38.391359999999999"/>
    <n v="39.991"/>
    <n v="38.391359999999999"/>
    <n v="0"/>
    <s v="CATIVO"/>
    <n v="0"/>
    <n v="0"/>
    <n v="50"/>
    <n v="61"/>
    <n v="0"/>
    <n v="60.38"/>
    <n v="150.26"/>
    <m/>
    <n v="94.517694765168258"/>
    <n v="136.62265710865657"/>
    <n v="0"/>
    <n v="336.9481696000002"/>
    <n v="0"/>
    <n v="369.74135247144534"/>
    <x v="0"/>
  </r>
  <r>
    <s v="Regular"/>
    <x v="0"/>
    <x v="0"/>
    <x v="0"/>
    <x v="0"/>
    <x v="0"/>
    <x v="0"/>
    <x v="0"/>
    <x v="4"/>
    <n v="0"/>
    <n v="0"/>
    <n v="40.545999999999999"/>
    <n v="38.924160000000001"/>
    <n v="40.545999999999999"/>
    <n v="38.924160000000001"/>
    <n v="0"/>
    <s v="CATIVO"/>
    <n v="0"/>
    <n v="0"/>
    <n v="50"/>
    <n v="61"/>
    <n v="0"/>
    <n v="60.38"/>
    <n v="150.26"/>
    <m/>
    <n v="94.517694765168258"/>
    <n v="136.62265710865657"/>
    <n v="0"/>
    <n v="341.62437759999972"/>
    <n v="0"/>
    <n v="374.87266828304382"/>
    <x v="0"/>
  </r>
  <r>
    <s v="Regular"/>
    <x v="0"/>
    <x v="0"/>
    <x v="0"/>
    <x v="0"/>
    <x v="0"/>
    <x v="0"/>
    <x v="0"/>
    <x v="5"/>
    <n v="0"/>
    <n v="0"/>
    <n v="40.496000000000002"/>
    <n v="38.876159999999999"/>
    <n v="40.496000000000002"/>
    <n v="38.876159999999999"/>
    <n v="0"/>
    <s v="CATIVO"/>
    <n v="0"/>
    <n v="0"/>
    <n v="50"/>
    <n v="61"/>
    <n v="0"/>
    <n v="60.38"/>
    <n v="150.26"/>
    <m/>
    <n v="94.517694765168258"/>
    <n v="136.62265710865657"/>
    <n v="0"/>
    <n v="341.20309760000072"/>
    <n v="0"/>
    <n v="374.41038757929721"/>
    <x v="0"/>
  </r>
  <r>
    <s v="Regular"/>
    <x v="0"/>
    <x v="0"/>
    <x v="0"/>
    <x v="0"/>
    <x v="0"/>
    <x v="0"/>
    <x v="0"/>
    <x v="6"/>
    <n v="0"/>
    <n v="0"/>
    <n v="39.790999999999997"/>
    <n v="38.199359999999999"/>
    <n v="39.790999999999997"/>
    <n v="38.199359999999999"/>
    <n v="0"/>
    <s v="CATIVO"/>
    <n v="0"/>
    <n v="0"/>
    <n v="50"/>
    <n v="61"/>
    <n v="0"/>
    <n v="60.38"/>
    <n v="150.26"/>
    <m/>
    <n v="94.517694765168258"/>
    <n v="136.62265710865657"/>
    <n v="0"/>
    <n v="335.26304959999959"/>
    <n v="0"/>
    <n v="367.89222965645411"/>
    <x v="0"/>
  </r>
  <r>
    <s v="Regular"/>
    <x v="0"/>
    <x v="0"/>
    <x v="0"/>
    <x v="0"/>
    <x v="0"/>
    <x v="0"/>
    <x v="0"/>
    <x v="7"/>
    <n v="0"/>
    <n v="0"/>
    <n v="38.433"/>
    <n v="36.895679999999999"/>
    <n v="38.433"/>
    <n v="36.895679999999999"/>
    <n v="0"/>
    <s v="CATIVO"/>
    <n v="0"/>
    <n v="0"/>
    <n v="50"/>
    <n v="61"/>
    <n v="0"/>
    <n v="60.38"/>
    <n v="150.26"/>
    <m/>
    <n v="94.517694765168258"/>
    <n v="136.62265710865657"/>
    <n v="0"/>
    <n v="323.82108480000022"/>
    <n v="0"/>
    <n v="355.33668574266864"/>
    <x v="0"/>
  </r>
  <r>
    <s v="Regular"/>
    <x v="0"/>
    <x v="0"/>
    <x v="0"/>
    <x v="0"/>
    <x v="0"/>
    <x v="0"/>
    <x v="0"/>
    <x v="8"/>
    <n v="0"/>
    <n v="0"/>
    <n v="34.738999999999997"/>
    <n v="33.349439999999994"/>
    <n v="34.738999999999997"/>
    <n v="33.349439999999994"/>
    <n v="0"/>
    <s v="CATIVO"/>
    <n v="0"/>
    <n v="0"/>
    <n v="50"/>
    <n v="61"/>
    <n v="0"/>
    <n v="60.38"/>
    <n v="150.26"/>
    <m/>
    <n v="94.517694765168258"/>
    <n v="136.62265710865657"/>
    <n v="0"/>
    <n v="292.69691840000064"/>
    <n v="0"/>
    <n v="321.18338734979272"/>
    <x v="0"/>
  </r>
  <r>
    <s v="Regular"/>
    <x v="0"/>
    <x v="0"/>
    <x v="0"/>
    <x v="0"/>
    <x v="0"/>
    <x v="0"/>
    <x v="0"/>
    <x v="9"/>
    <n v="0"/>
    <n v="0"/>
    <n v="33.51"/>
    <n v="32.169599999999996"/>
    <n v="33.51"/>
    <n v="32.169599999999996"/>
    <n v="0"/>
    <s v="CATIVO"/>
    <n v="0"/>
    <n v="0"/>
    <n v="50"/>
    <n v="61"/>
    <n v="0"/>
    <n v="60.38"/>
    <n v="150.26"/>
    <m/>
    <n v="94.517694765168258"/>
    <n v="136.62265710865657"/>
    <n v="0"/>
    <n v="282.34185600000052"/>
    <n v="0"/>
    <n v="309.82052765167538"/>
    <x v="0"/>
  </r>
  <r>
    <s v="Regular"/>
    <x v="0"/>
    <x v="0"/>
    <x v="0"/>
    <x v="0"/>
    <x v="0"/>
    <x v="0"/>
    <x v="0"/>
    <x v="10"/>
    <n v="0"/>
    <n v="0"/>
    <n v="32.932000000000002"/>
    <n v="31.614720000000002"/>
    <n v="32.932000000000002"/>
    <n v="31.614720000000002"/>
    <n v="0"/>
    <s v="CATIVO"/>
    <n v="0"/>
    <n v="0"/>
    <n v="50"/>
    <n v="61"/>
    <n v="0"/>
    <n v="60.38"/>
    <n v="150.26"/>
    <m/>
    <n v="94.517694765168258"/>
    <n v="136.62265710865657"/>
    <n v="0"/>
    <n v="277.47185920000004"/>
    <n v="0"/>
    <n v="304.47656271635202"/>
    <x v="0"/>
  </r>
  <r>
    <s v="PROJETADO"/>
    <x v="0"/>
    <x v="0"/>
    <x v="0"/>
    <x v="0"/>
    <x v="0"/>
    <x v="0"/>
    <x v="0"/>
    <x v="11"/>
    <n v="0"/>
    <n v="0"/>
    <n v="32.932000000000002"/>
    <n v="31.614720000000002"/>
    <n v="32.932000000000002"/>
    <n v="31.614720000000002"/>
    <n v="0"/>
    <s v="CATIVO"/>
    <n v="0"/>
    <n v="0"/>
    <n v="50"/>
    <n v="61"/>
    <n v="0"/>
    <n v="60.38"/>
    <n v="150.26"/>
    <m/>
    <n v="94.517694765168258"/>
    <n v="136.62265710865657"/>
    <n v="0"/>
    <n v="277.47185920000004"/>
    <n v="0"/>
    <n v="304.47656271635202"/>
    <x v="0"/>
  </r>
  <r>
    <s v="Regular"/>
    <x v="0"/>
    <x v="0"/>
    <x v="0"/>
    <x v="0"/>
    <x v="0"/>
    <x v="0"/>
    <x v="1"/>
    <x v="0"/>
    <n v="134"/>
    <n v="128.63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184.81280000000046"/>
    <n v="0"/>
    <n v="202.18911638099695"/>
    <n v="0"/>
    <x v="0"/>
  </r>
  <r>
    <s v="Regular"/>
    <x v="0"/>
    <x v="0"/>
    <x v="0"/>
    <x v="0"/>
    <x v="0"/>
    <x v="0"/>
    <x v="1"/>
    <x v="1"/>
    <n v="142"/>
    <n v="136.32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195.84640000000022"/>
    <n v="0"/>
    <n v="214.26010840374275"/>
    <n v="0"/>
    <x v="0"/>
  </r>
  <r>
    <s v="Regular"/>
    <x v="0"/>
    <x v="0"/>
    <x v="0"/>
    <x v="0"/>
    <x v="0"/>
    <x v="0"/>
    <x v="1"/>
    <x v="2"/>
    <n v="153"/>
    <n v="146.88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11.01760000000013"/>
    <n v="0"/>
    <n v="230.8577224350185"/>
    <n v="0"/>
    <x v="0"/>
  </r>
  <r>
    <s v="Regular"/>
    <x v="0"/>
    <x v="0"/>
    <x v="0"/>
    <x v="0"/>
    <x v="0"/>
    <x v="0"/>
    <x v="1"/>
    <x v="3"/>
    <n v="150"/>
    <n v="144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06.88"/>
    <n v="0"/>
    <n v="226.33110042648855"/>
    <n v="0"/>
    <x v="0"/>
  </r>
  <r>
    <s v="Regular"/>
    <x v="0"/>
    <x v="0"/>
    <x v="0"/>
    <x v="0"/>
    <x v="0"/>
    <x v="0"/>
    <x v="1"/>
    <x v="4"/>
    <n v="167"/>
    <n v="160.32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30.32640000000021"/>
    <n v="0"/>
    <n v="251.98195847482418"/>
    <n v="0"/>
    <x v="0"/>
  </r>
  <r>
    <s v="Regular"/>
    <x v="0"/>
    <x v="0"/>
    <x v="0"/>
    <x v="0"/>
    <x v="0"/>
    <x v="0"/>
    <x v="1"/>
    <x v="5"/>
    <n v="163"/>
    <n v="156.47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24.80960000000033"/>
    <n v="0"/>
    <n v="245.9464624634513"/>
    <n v="0"/>
    <x v="0"/>
  </r>
  <r>
    <s v="Regular"/>
    <x v="0"/>
    <x v="0"/>
    <x v="0"/>
    <x v="0"/>
    <x v="0"/>
    <x v="0"/>
    <x v="1"/>
    <x v="6"/>
    <n v="151"/>
    <n v="144.96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08.25919999999971"/>
    <n v="0"/>
    <n v="227.83997442933151"/>
    <n v="0"/>
    <x v="0"/>
  </r>
  <r>
    <s v="Regular"/>
    <x v="0"/>
    <x v="0"/>
    <x v="0"/>
    <x v="0"/>
    <x v="0"/>
    <x v="0"/>
    <x v="1"/>
    <x v="7"/>
    <n v="151"/>
    <n v="144.96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08.25919999999971"/>
    <n v="0"/>
    <n v="227.83997442933151"/>
    <n v="0"/>
    <x v="0"/>
  </r>
  <r>
    <s v="Regular"/>
    <x v="0"/>
    <x v="0"/>
    <x v="0"/>
    <x v="0"/>
    <x v="0"/>
    <x v="0"/>
    <x v="1"/>
    <x v="8"/>
    <n v="170"/>
    <n v="163.19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34.46400000000037"/>
    <n v="0"/>
    <n v="256.50858048335414"/>
    <n v="0"/>
    <x v="0"/>
  </r>
  <r>
    <s v="Regular"/>
    <x v="0"/>
    <x v="0"/>
    <x v="0"/>
    <x v="0"/>
    <x v="0"/>
    <x v="0"/>
    <x v="1"/>
    <x v="9"/>
    <n v="170"/>
    <n v="163.19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34.46400000000037"/>
    <n v="0"/>
    <n v="256.50858048335414"/>
    <n v="0"/>
    <x v="0"/>
  </r>
  <r>
    <s v="Regular"/>
    <x v="0"/>
    <x v="0"/>
    <x v="0"/>
    <x v="0"/>
    <x v="0"/>
    <x v="0"/>
    <x v="1"/>
    <x v="10"/>
    <n v="170"/>
    <n v="163.19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34.46400000000037"/>
    <n v="0"/>
    <n v="256.50858048335414"/>
    <n v="0"/>
    <x v="0"/>
  </r>
  <r>
    <s v="PROJETADO"/>
    <x v="0"/>
    <x v="0"/>
    <x v="0"/>
    <x v="0"/>
    <x v="0"/>
    <x v="0"/>
    <x v="1"/>
    <x v="11"/>
    <n v="170"/>
    <n v="163.19999999999999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234.46400000000037"/>
    <n v="0"/>
    <n v="256.50858048335414"/>
    <n v="0"/>
    <x v="0"/>
  </r>
  <r>
    <s v="Regular"/>
    <x v="0"/>
    <x v="0"/>
    <x v="0"/>
    <x v="0"/>
    <x v="0"/>
    <x v="0"/>
    <x v="2"/>
    <x v="0"/>
    <n v="0"/>
    <n v="0"/>
    <n v="0.28299999999999997"/>
    <n v="0.27167999999999998"/>
    <n v="0.28299999999999997"/>
    <n v="0.27167999999999998"/>
    <n v="0"/>
    <s v="CATIVO"/>
    <n v="0"/>
    <n v="0"/>
    <n v="35"/>
    <n v="70"/>
    <n v="0"/>
    <n v="2676.16"/>
    <n v="150.26"/>
    <m/>
    <n v="2626.6795212185111"/>
    <n v="136.62265710865657"/>
    <n v="0"/>
    <n v="31.995074399999986"/>
    <n v="0"/>
    <n v="31.280580658663531"/>
    <x v="0"/>
  </r>
  <r>
    <s v="Regular"/>
    <x v="0"/>
    <x v="0"/>
    <x v="0"/>
    <x v="0"/>
    <x v="0"/>
    <x v="0"/>
    <x v="2"/>
    <x v="1"/>
    <n v="0"/>
    <n v="0"/>
    <n v="0.79800000000000004"/>
    <n v="0.76607999999999998"/>
    <n v="0.79800000000000004"/>
    <n v="0.76607999999999998"/>
    <n v="0"/>
    <s v="CATIVO"/>
    <n v="0"/>
    <n v="0"/>
    <n v="35"/>
    <n v="70"/>
    <n v="0"/>
    <n v="2676.16"/>
    <n v="150.26"/>
    <m/>
    <n v="2626.6795212185111"/>
    <n v="136.62265710865657"/>
    <n v="0"/>
    <n v="90.219326400000156"/>
    <n v="0"/>
    <n v="88.20460553220336"/>
    <x v="0"/>
  </r>
  <r>
    <s v="Regular"/>
    <x v="0"/>
    <x v="0"/>
    <x v="0"/>
    <x v="0"/>
    <x v="0"/>
    <x v="0"/>
    <x v="2"/>
    <x v="2"/>
    <n v="0"/>
    <n v="0"/>
    <n v="0.65900000000000003"/>
    <n v="0.63263999999999998"/>
    <n v="0.65900000000000003"/>
    <n v="0.63263999999999998"/>
    <n v="0"/>
    <s v="CATIVO"/>
    <n v="0"/>
    <n v="0"/>
    <n v="35"/>
    <n v="70"/>
    <n v="0"/>
    <n v="2676.16"/>
    <n v="150.26"/>
    <m/>
    <n v="2626.6795212185111"/>
    <n v="136.62265710865657"/>
    <n v="0"/>
    <n v="74.504431200000141"/>
    <n v="0"/>
    <n v="72.840645420704277"/>
    <x v="0"/>
  </r>
  <r>
    <s v="Regular"/>
    <x v="0"/>
    <x v="0"/>
    <x v="0"/>
    <x v="0"/>
    <x v="0"/>
    <x v="0"/>
    <x v="2"/>
    <x v="3"/>
    <n v="0"/>
    <n v="0"/>
    <n v="1.33"/>
    <n v="1.2767999999999999"/>
    <n v="1.33"/>
    <n v="1.2767999999999999"/>
    <n v="0"/>
    <s v="CATIVO"/>
    <n v="0"/>
    <n v="0"/>
    <n v="35"/>
    <n v="70"/>
    <n v="0"/>
    <n v="2676.16"/>
    <n v="150.26"/>
    <m/>
    <n v="2626.6795212185111"/>
    <n v="136.62265710865657"/>
    <n v="0"/>
    <n v="150.36554400000037"/>
    <n v="0"/>
    <n v="147.00767588700572"/>
    <x v="0"/>
  </r>
  <r>
    <s v="Regular"/>
    <x v="0"/>
    <x v="0"/>
    <x v="0"/>
    <x v="0"/>
    <x v="0"/>
    <x v="0"/>
    <x v="2"/>
    <x v="4"/>
    <n v="0"/>
    <n v="0"/>
    <n v="1.4119999999999999"/>
    <n v="1.3555199999999998"/>
    <n v="1.4119999999999999"/>
    <n v="1.3555199999999998"/>
    <n v="0"/>
    <s v="CATIVO"/>
    <n v="0"/>
    <n v="0"/>
    <n v="35"/>
    <n v="70"/>
    <n v="0"/>
    <n v="2676.16"/>
    <n v="150.26"/>
    <m/>
    <n v="2626.6795212185111"/>
    <n v="136.62265710865657"/>
    <n v="0"/>
    <n v="159.63620160000022"/>
    <n v="0"/>
    <n v="156.07130703191865"/>
    <x v="0"/>
  </r>
  <r>
    <s v="Regular"/>
    <x v="0"/>
    <x v="0"/>
    <x v="0"/>
    <x v="0"/>
    <x v="0"/>
    <x v="0"/>
    <x v="2"/>
    <x v="5"/>
    <n v="0"/>
    <n v="0"/>
    <n v="0.27"/>
    <n v="0.25919999999999999"/>
    <n v="0.27"/>
    <n v="0.25919999999999999"/>
    <n v="0"/>
    <s v="CATIVO"/>
    <n v="0"/>
    <n v="0"/>
    <n v="35"/>
    <n v="70"/>
    <n v="0"/>
    <n v="2676.16"/>
    <n v="150.26"/>
    <m/>
    <n v="2626.6795212185111"/>
    <n v="136.62265710865657"/>
    <n v="0"/>
    <n v="30.525336000000088"/>
    <n v="0"/>
    <n v="29.843663525933497"/>
    <x v="0"/>
  </r>
  <r>
    <s v="Regular"/>
    <x v="0"/>
    <x v="0"/>
    <x v="0"/>
    <x v="0"/>
    <x v="0"/>
    <x v="0"/>
    <x v="2"/>
    <x v="10"/>
    <n v="0"/>
    <n v="0"/>
    <n v="7.0000000000000001E-3"/>
    <n v="6.7200000000000003E-3"/>
    <n v="7.0000000000000001E-3"/>
    <n v="6.7200000000000003E-3"/>
    <n v="0"/>
    <s v="CATIVO"/>
    <n v="0"/>
    <n v="0"/>
    <n v="35"/>
    <n v="70"/>
    <n v="0"/>
    <n v="2676.16"/>
    <n v="150.26"/>
    <m/>
    <n v="2626.6795212185111"/>
    <n v="136.62265710865657"/>
    <n v="0"/>
    <n v="0.79139759999999959"/>
    <n v="0"/>
    <n v="0.77372460993160663"/>
    <x v="0"/>
  </r>
  <r>
    <s v="PROJETADO"/>
    <x v="0"/>
    <x v="0"/>
    <x v="0"/>
    <x v="0"/>
    <x v="0"/>
    <x v="0"/>
    <x v="2"/>
    <x v="11"/>
    <n v="0"/>
    <n v="0"/>
    <n v="7.0000000000000001E-3"/>
    <n v="6.7200000000000003E-3"/>
    <n v="7.0000000000000001E-3"/>
    <n v="6.7200000000000003E-3"/>
    <n v="0"/>
    <s v="CATIVO"/>
    <n v="0"/>
    <n v="0"/>
    <n v="35"/>
    <n v="70"/>
    <n v="0"/>
    <n v="2676.16"/>
    <n v="150.26"/>
    <m/>
    <n v="2626.6795212185111"/>
    <n v="136.62265710865657"/>
    <n v="0"/>
    <n v="0.79139759999999959"/>
    <n v="0"/>
    <n v="0.77372460993160663"/>
    <x v="0"/>
  </r>
  <r>
    <s v="Regular"/>
    <x v="0"/>
    <x v="0"/>
    <x v="1"/>
    <x v="1"/>
    <x v="0"/>
    <x v="0"/>
    <x v="0"/>
    <x v="2"/>
    <n v="0"/>
    <n v="0"/>
    <n v="3.375"/>
    <n v="3.1724999999999999"/>
    <n v="3.375"/>
    <n v="3.1724999999999999"/>
    <n v="0"/>
    <s v="CATIVO"/>
    <n v="0"/>
    <n v="0"/>
    <n v="50"/>
    <n v="61"/>
    <n v="0"/>
    <n v="60.38"/>
    <n v="150.26"/>
    <m/>
    <n v="94.517694765168258"/>
    <n v="136.62265710865657"/>
    <n v="0"/>
    <n v="42.654600000000023"/>
    <n v="0"/>
    <n v="46.805921254449558"/>
    <x v="1"/>
  </r>
  <r>
    <s v="Regular"/>
    <x v="0"/>
    <x v="0"/>
    <x v="1"/>
    <x v="1"/>
    <x v="0"/>
    <x v="0"/>
    <x v="0"/>
    <x v="3"/>
    <n v="0"/>
    <n v="0"/>
    <n v="2.33"/>
    <n v="2.1901999999999999"/>
    <n v="2.33"/>
    <n v="2.1901999999999999"/>
    <n v="0"/>
    <s v="CATIVO"/>
    <n v="0"/>
    <n v="0"/>
    <n v="50"/>
    <n v="61"/>
    <n v="0"/>
    <n v="60.38"/>
    <n v="150.26"/>
    <m/>
    <n v="94.517694765168258"/>
    <n v="136.62265710865657"/>
    <n v="0"/>
    <n v="29.44747200000003"/>
    <n v="0"/>
    <n v="32.313421191960742"/>
    <x v="1"/>
  </r>
  <r>
    <s v="Regular"/>
    <x v="0"/>
    <x v="0"/>
    <x v="1"/>
    <x v="1"/>
    <x v="0"/>
    <x v="0"/>
    <x v="0"/>
    <x v="4"/>
    <n v="0"/>
    <n v="0"/>
    <n v="2.5019999999999998"/>
    <n v="2.35188"/>
    <n v="2.5019999999999998"/>
    <n v="2.35188"/>
    <n v="0"/>
    <s v="CATIVO"/>
    <n v="0"/>
    <n v="0"/>
    <n v="50"/>
    <n v="61"/>
    <n v="0"/>
    <n v="60.38"/>
    <n v="150.26"/>
    <m/>
    <n v="94.517694765168258"/>
    <n v="136.62265710865657"/>
    <n v="0"/>
    <n v="31.621276799999958"/>
    <n v="0"/>
    <n v="34.698789623298538"/>
    <x v="1"/>
  </r>
  <r>
    <s v="Regular"/>
    <x v="0"/>
    <x v="0"/>
    <x v="1"/>
    <x v="1"/>
    <x v="0"/>
    <x v="0"/>
    <x v="0"/>
    <x v="5"/>
    <n v="0"/>
    <n v="0"/>
    <n v="2.4159999999999999"/>
    <n v="2.2710400000000002"/>
    <n v="2.4159999999999999"/>
    <n v="2.2710400000000002"/>
    <n v="0"/>
    <s v="CATIVO"/>
    <n v="0"/>
    <n v="0"/>
    <n v="50"/>
    <n v="61"/>
    <n v="0"/>
    <n v="60.38"/>
    <n v="150.26"/>
    <m/>
    <n v="94.517694765168258"/>
    <n v="136.62265710865657"/>
    <n v="0"/>
    <n v="30.534374399999948"/>
    <n v="0"/>
    <n v="33.50610540762959"/>
    <x v="1"/>
  </r>
  <r>
    <s v="Regular"/>
    <x v="0"/>
    <x v="0"/>
    <x v="1"/>
    <x v="1"/>
    <x v="0"/>
    <x v="0"/>
    <x v="0"/>
    <x v="6"/>
    <n v="0"/>
    <n v="0"/>
    <n v="2.2210000000000001"/>
    <n v="2.0877400000000002"/>
    <n v="2.2210000000000001"/>
    <n v="2.0877400000000002"/>
    <n v="0"/>
    <s v="CATIVO"/>
    <n v="0"/>
    <n v="0"/>
    <n v="50"/>
    <n v="61"/>
    <n v="0"/>
    <n v="60.38"/>
    <n v="150.26"/>
    <m/>
    <n v="94.517694765168258"/>
    <n v="136.62265710865657"/>
    <n v="0"/>
    <n v="28.069886399999987"/>
    <n v="0"/>
    <n v="30.801763290705882"/>
    <x v="1"/>
  </r>
  <r>
    <s v="Regular"/>
    <x v="0"/>
    <x v="0"/>
    <x v="1"/>
    <x v="1"/>
    <x v="0"/>
    <x v="0"/>
    <x v="0"/>
    <x v="7"/>
    <n v="0"/>
    <n v="0"/>
    <n v="4.6870000000000003"/>
    <n v="4.40578"/>
    <n v="4.6870000000000003"/>
    <n v="4.40578"/>
    <n v="0"/>
    <s v="CATIVO"/>
    <n v="0"/>
    <n v="0"/>
    <n v="50"/>
    <n v="61"/>
    <n v="0"/>
    <n v="60.38"/>
    <n v="150.26"/>
    <m/>
    <n v="94.517694765168258"/>
    <n v="136.62265710865657"/>
    <n v="0"/>
    <n v="59.236180800000049"/>
    <n v="0"/>
    <n v="65.001289753957082"/>
    <x v="1"/>
  </r>
  <r>
    <s v="Regular"/>
    <x v="0"/>
    <x v="0"/>
    <x v="1"/>
    <x v="1"/>
    <x v="0"/>
    <x v="0"/>
    <x v="0"/>
    <x v="8"/>
    <n v="0"/>
    <n v="0"/>
    <n v="4.9539999999999997"/>
    <n v="4.6567600000000002"/>
    <n v="4.9539999999999997"/>
    <n v="4.6567600000000002"/>
    <n v="0"/>
    <s v="CATIVO"/>
    <n v="0"/>
    <n v="0"/>
    <n v="50"/>
    <n v="61"/>
    <n v="0"/>
    <n v="60.38"/>
    <n v="150.26"/>
    <m/>
    <n v="94.517694765168258"/>
    <n v="136.62265710865657"/>
    <n v="0"/>
    <n v="62.610633599999893"/>
    <n v="0"/>
    <n v="68.704158190975576"/>
    <x v="1"/>
  </r>
  <r>
    <s v="Regular"/>
    <x v="0"/>
    <x v="0"/>
    <x v="1"/>
    <x v="1"/>
    <x v="0"/>
    <x v="0"/>
    <x v="0"/>
    <x v="9"/>
    <n v="0"/>
    <n v="0"/>
    <n v="5.3840000000000003"/>
    <n v="5.0609599999999997"/>
    <n v="5.3840000000000003"/>
    <n v="5.0609599999999997"/>
    <n v="0"/>
    <s v="CATIVO"/>
    <n v="0"/>
    <n v="0"/>
    <n v="50"/>
    <n v="61"/>
    <n v="0"/>
    <n v="60.38"/>
    <n v="150.26"/>
    <m/>
    <n v="94.517694765168258"/>
    <n v="136.62265710865657"/>
    <n v="0"/>
    <n v="68.045145600000126"/>
    <n v="0"/>
    <n v="74.667579269320527"/>
    <x v="1"/>
  </r>
  <r>
    <s v="Regular"/>
    <x v="0"/>
    <x v="0"/>
    <x v="1"/>
    <x v="1"/>
    <x v="0"/>
    <x v="0"/>
    <x v="0"/>
    <x v="10"/>
    <n v="0"/>
    <n v="0"/>
    <n v="5.2229999999999999"/>
    <n v="4.9096200000000003"/>
    <n v="5.2229999999999999"/>
    <n v="4.9096200000000003"/>
    <n v="0"/>
    <s v="CATIVO"/>
    <n v="0"/>
    <n v="0"/>
    <n v="50"/>
    <n v="61"/>
    <n v="0"/>
    <n v="60.38"/>
    <n v="150.26"/>
    <m/>
    <n v="94.517694765168258"/>
    <n v="136.62265710865657"/>
    <n v="0"/>
    <n v="66.010363199999901"/>
    <n v="0"/>
    <n v="72.434763470219124"/>
    <x v="1"/>
  </r>
  <r>
    <s v="PROJETADO"/>
    <x v="0"/>
    <x v="0"/>
    <x v="1"/>
    <x v="1"/>
    <x v="0"/>
    <x v="0"/>
    <x v="0"/>
    <x v="11"/>
    <n v="0"/>
    <n v="0"/>
    <n v="5.2229999999999999"/>
    <n v="4.9096200000000003"/>
    <n v="5.2229999999999999"/>
    <n v="4.9096200000000003"/>
    <n v="0"/>
    <s v="CATIVO"/>
    <n v="0"/>
    <n v="0"/>
    <n v="50"/>
    <n v="61"/>
    <n v="0"/>
    <n v="60.38"/>
    <n v="150.26"/>
    <m/>
    <n v="94.517694765168258"/>
    <n v="136.62265710865657"/>
    <n v="0"/>
    <n v="66.010363199999901"/>
    <n v="0"/>
    <n v="72.434763470219124"/>
    <x v="1"/>
  </r>
  <r>
    <s v="Regular"/>
    <x v="0"/>
    <x v="0"/>
    <x v="1"/>
    <x v="1"/>
    <x v="0"/>
    <x v="0"/>
    <x v="1"/>
    <x v="2"/>
    <n v="30"/>
    <n v="25.5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155.16"/>
    <n v="0"/>
    <n v="169.74832531986641"/>
    <n v="0"/>
    <x v="1"/>
  </r>
  <r>
    <s v="Regular"/>
    <x v="0"/>
    <x v="0"/>
    <x v="1"/>
    <x v="1"/>
    <x v="0"/>
    <x v="0"/>
    <x v="1"/>
    <x v="3"/>
    <n v="30"/>
    <n v="25.5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155.16"/>
    <n v="0"/>
    <n v="169.74832531986641"/>
    <n v="0"/>
    <x v="1"/>
  </r>
  <r>
    <s v="Regular"/>
    <x v="0"/>
    <x v="0"/>
    <x v="1"/>
    <x v="1"/>
    <x v="0"/>
    <x v="0"/>
    <x v="1"/>
    <x v="4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5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6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7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8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9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1"/>
    <x v="10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PROJETADO"/>
    <x v="0"/>
    <x v="0"/>
    <x v="1"/>
    <x v="1"/>
    <x v="0"/>
    <x v="0"/>
    <x v="1"/>
    <x v="11"/>
    <n v="78"/>
    <n v="66.3"/>
    <n v="0"/>
    <n v="0"/>
    <n v="0"/>
    <n v="0"/>
    <n v="1"/>
    <s v="CATIVO"/>
    <n v="0"/>
    <n v="46"/>
    <n v="0"/>
    <n v="0"/>
    <n v="34.479999999999997"/>
    <n v="0"/>
    <n v="0"/>
    <n v="37.721850071081427"/>
    <m/>
    <m/>
    <n v="403.41600000000005"/>
    <n v="0"/>
    <n v="441.3456458316528"/>
    <n v="0"/>
    <x v="1"/>
  </r>
  <r>
    <s v="Regular"/>
    <x v="0"/>
    <x v="0"/>
    <x v="1"/>
    <x v="1"/>
    <x v="0"/>
    <x v="0"/>
    <x v="2"/>
    <x v="2"/>
    <n v="0"/>
    <n v="0"/>
    <n v="0.57299999999999995"/>
    <n v="0.53861999999999999"/>
    <n v="0.57299999999999995"/>
    <n v="0.53861999999999999"/>
    <n v="0"/>
    <s v="CATIVO"/>
    <n v="0"/>
    <n v="0"/>
    <n v="35"/>
    <n v="70"/>
    <n v="0"/>
    <n v="2676.16"/>
    <n v="150.26"/>
    <m/>
    <n v="2626.6795212185111"/>
    <n v="136.62265710865657"/>
    <n v="0"/>
    <n v="97.172319599999895"/>
    <n v="0"/>
    <n v="95.002328890887924"/>
    <x v="1"/>
  </r>
  <r>
    <s v="Regular"/>
    <x v="0"/>
    <x v="0"/>
    <x v="1"/>
    <x v="1"/>
    <x v="0"/>
    <x v="0"/>
    <x v="2"/>
    <x v="3"/>
    <n v="0"/>
    <n v="0"/>
    <n v="0.40400000000000003"/>
    <n v="0.37975999999999999"/>
    <n v="0.40400000000000003"/>
    <n v="0.37975999999999999"/>
    <n v="0"/>
    <s v="CATIVO"/>
    <n v="0"/>
    <n v="0"/>
    <n v="35"/>
    <n v="70"/>
    <n v="0"/>
    <n v="2676.16"/>
    <n v="150.26"/>
    <m/>
    <n v="2626.6795212185111"/>
    <n v="136.62265710865657"/>
    <n v="0"/>
    <n v="68.5124208000001"/>
    <n v="0"/>
    <n v="66.982444802650662"/>
    <x v="1"/>
  </r>
  <r>
    <s v="Regular"/>
    <x v="0"/>
    <x v="0"/>
    <x v="1"/>
    <x v="1"/>
    <x v="0"/>
    <x v="0"/>
    <x v="2"/>
    <x v="4"/>
    <n v="0"/>
    <n v="0"/>
    <n v="0.48099999999999998"/>
    <n v="0.45213999999999999"/>
    <n v="0.48099999999999998"/>
    <n v="0.45213999999999999"/>
    <n v="0"/>
    <s v="CATIVO"/>
    <n v="0"/>
    <n v="0"/>
    <n v="35"/>
    <n v="70"/>
    <n v="0"/>
    <n v="2676.16"/>
    <n v="150.26"/>
    <m/>
    <n v="2626.6795212185111"/>
    <n v="136.62265710865657"/>
    <n v="0"/>
    <n v="81.570481199999989"/>
    <n v="0"/>
    <n v="79.74890086652205"/>
    <x v="1"/>
  </r>
  <r>
    <s v="Regular"/>
    <x v="0"/>
    <x v="0"/>
    <x v="1"/>
    <x v="1"/>
    <x v="0"/>
    <x v="0"/>
    <x v="2"/>
    <x v="5"/>
    <n v="0"/>
    <n v="0"/>
    <n v="0.42699999999999999"/>
    <n v="0.40138000000000001"/>
    <n v="0.42699999999999999"/>
    <n v="0.40138000000000001"/>
    <n v="0"/>
    <s v="CATIVO"/>
    <n v="0"/>
    <n v="0"/>
    <n v="35"/>
    <n v="70"/>
    <n v="0"/>
    <n v="2676.16"/>
    <n v="150.26"/>
    <m/>
    <n v="2626.6795212185111"/>
    <n v="136.62265710865657"/>
    <n v="0"/>
    <n v="72.412880399999935"/>
    <n v="0"/>
    <n v="70.79580180874197"/>
    <x v="1"/>
  </r>
  <r>
    <s v="Regular"/>
    <x v="0"/>
    <x v="0"/>
    <x v="1"/>
    <x v="1"/>
    <x v="0"/>
    <x v="0"/>
    <x v="2"/>
    <x v="6"/>
    <n v="0"/>
    <n v="0"/>
    <n v="0.40400000000000003"/>
    <n v="0.37975999999999999"/>
    <n v="0.40400000000000003"/>
    <n v="0.37975999999999999"/>
    <n v="0"/>
    <s v="CATIVO"/>
    <n v="0"/>
    <n v="0"/>
    <n v="35"/>
    <n v="70"/>
    <n v="0"/>
    <n v="2676.16"/>
    <n v="150.26"/>
    <m/>
    <n v="2626.6795212185111"/>
    <n v="136.62265710865657"/>
    <n v="0"/>
    <n v="68.5124208000001"/>
    <n v="0"/>
    <n v="66.982444802650662"/>
    <x v="1"/>
  </r>
  <r>
    <s v="Regular"/>
    <x v="0"/>
    <x v="0"/>
    <x v="1"/>
    <x v="1"/>
    <x v="0"/>
    <x v="0"/>
    <x v="2"/>
    <x v="7"/>
    <n v="0"/>
    <n v="0"/>
    <n v="0.68500000000000005"/>
    <n v="0.64390000000000003"/>
    <n v="0.68500000000000005"/>
    <n v="0.64390000000000003"/>
    <n v="0"/>
    <s v="CATIVO"/>
    <n v="0"/>
    <n v="0"/>
    <n v="35"/>
    <n v="70"/>
    <n v="0"/>
    <n v="2676.16"/>
    <n v="150.26"/>
    <m/>
    <n v="2626.6795212185111"/>
    <n v="136.62265710865657"/>
    <n v="0"/>
    <n v="116.16586200000006"/>
    <n v="0"/>
    <n v="113.57171952924666"/>
    <x v="1"/>
  </r>
  <r>
    <s v="Regular"/>
    <x v="0"/>
    <x v="0"/>
    <x v="1"/>
    <x v="1"/>
    <x v="0"/>
    <x v="0"/>
    <x v="2"/>
    <x v="8"/>
    <n v="0"/>
    <n v="0"/>
    <n v="0.6"/>
    <n v="0.56399999999999995"/>
    <n v="0.6"/>
    <n v="0.56399999999999995"/>
    <n v="0"/>
    <s v="CATIVO"/>
    <n v="0"/>
    <n v="0"/>
    <n v="35"/>
    <n v="70"/>
    <n v="0"/>
    <n v="2676.16"/>
    <n v="150.26"/>
    <m/>
    <n v="2626.6795212185111"/>
    <n v="136.62265710865657"/>
    <n v="0"/>
    <n v="101.75112000000009"/>
    <n v="0"/>
    <n v="99.478878419778127"/>
    <x v="1"/>
  </r>
  <r>
    <s v="Regular"/>
    <x v="0"/>
    <x v="0"/>
    <x v="1"/>
    <x v="1"/>
    <x v="0"/>
    <x v="0"/>
    <x v="2"/>
    <x v="9"/>
    <n v="0"/>
    <n v="0"/>
    <n v="0.69699999999999995"/>
    <n v="0.65517999999999998"/>
    <n v="0.69699999999999995"/>
    <n v="0.65517999999999998"/>
    <n v="0"/>
    <s v="CATIVO"/>
    <n v="0"/>
    <n v="0"/>
    <n v="35"/>
    <n v="70"/>
    <n v="0"/>
    <n v="2676.16"/>
    <n v="150.26"/>
    <m/>
    <n v="2626.6795212185111"/>
    <n v="136.62265710865657"/>
    <n v="0"/>
    <n v="118.20088439999989"/>
    <n v="0"/>
    <n v="115.56129709764205"/>
    <x v="1"/>
  </r>
  <r>
    <s v="Regular"/>
    <x v="0"/>
    <x v="0"/>
    <x v="1"/>
    <x v="1"/>
    <x v="0"/>
    <x v="0"/>
    <x v="2"/>
    <x v="10"/>
    <n v="0"/>
    <n v="0"/>
    <n v="0.65900000000000003"/>
    <n v="0.61946000000000001"/>
    <n v="0.65900000000000003"/>
    <n v="0.61946000000000001"/>
    <n v="0"/>
    <s v="CATIVO"/>
    <n v="0"/>
    <n v="0"/>
    <n v="35"/>
    <n v="70"/>
    <n v="0"/>
    <n v="2676.16"/>
    <n v="150.26"/>
    <m/>
    <n v="2626.6795212185111"/>
    <n v="136.62265710865657"/>
    <n v="0"/>
    <n v="111.75664680000004"/>
    <n v="0"/>
    <n v="109.26096813105627"/>
    <x v="1"/>
  </r>
  <r>
    <s v="PROJETADO"/>
    <x v="0"/>
    <x v="0"/>
    <x v="1"/>
    <x v="1"/>
    <x v="0"/>
    <x v="0"/>
    <x v="2"/>
    <x v="11"/>
    <n v="0"/>
    <n v="0"/>
    <n v="0.65900000000000003"/>
    <n v="0.61946000000000001"/>
    <n v="0.65900000000000003"/>
    <n v="0.61946000000000001"/>
    <n v="0"/>
    <s v="CATIVO"/>
    <n v="0"/>
    <n v="0"/>
    <n v="35"/>
    <n v="70"/>
    <n v="0"/>
    <n v="2676.16"/>
    <n v="150.26"/>
    <m/>
    <n v="2626.6795212185111"/>
    <n v="136.62265710865657"/>
    <n v="0"/>
    <n v="111.75664680000004"/>
    <n v="0"/>
    <n v="109.26096813105627"/>
    <x v="1"/>
  </r>
  <r>
    <s v="Regular"/>
    <x v="1"/>
    <x v="1"/>
    <x v="2"/>
    <x v="2"/>
    <x v="0"/>
    <x v="0"/>
    <x v="1"/>
    <x v="0"/>
    <n v="0"/>
    <n v="0"/>
    <n v="2353.8519999999999"/>
    <n v="2353.8519999999999"/>
    <n v="2353.8519999999999"/>
    <n v="2353.8519999999999"/>
    <n v="11922"/>
    <s v="CATIVO"/>
    <n v="0"/>
    <n v="0"/>
    <n v="34"/>
    <n v="83"/>
    <n v="0"/>
    <n v="501.48"/>
    <n v="150.26"/>
    <m/>
    <n v="590.21277757372172"/>
    <n v="136.62265710865657"/>
    <n v="0"/>
    <n v="0"/>
    <n v="0"/>
    <n v="0"/>
    <x v="2"/>
  </r>
  <r>
    <s v="Regular"/>
    <x v="1"/>
    <x v="1"/>
    <x v="2"/>
    <x v="3"/>
    <x v="0"/>
    <x v="0"/>
    <x v="1"/>
    <x v="0"/>
    <n v="0"/>
    <n v="0"/>
    <n v="15.03"/>
    <n v="15.03"/>
    <n v="15.03"/>
    <n v="15.03"/>
    <n v="14"/>
    <s v="CATIVO"/>
    <n v="0"/>
    <n v="0"/>
    <n v="77"/>
    <n v="84"/>
    <n v="0"/>
    <n v="154.44999999999999"/>
    <n v="52.59"/>
    <m/>
    <n v="170.82207157873242"/>
    <n v="47.817929988029796"/>
    <n v="0"/>
    <n v="5779.0349999999999"/>
    <n v="0"/>
    <n v="6102.8671294470951"/>
    <x v="3"/>
  </r>
  <r>
    <s v="Regular"/>
    <x v="1"/>
    <x v="1"/>
    <x v="2"/>
    <x v="3"/>
    <x v="0"/>
    <x v="0"/>
    <x v="1"/>
    <x v="1"/>
    <n v="0"/>
    <n v="0"/>
    <n v="15.36"/>
    <n v="15.36"/>
    <n v="15.36"/>
    <n v="15.36"/>
    <n v="13"/>
    <s v="CATIVO"/>
    <n v="0"/>
    <n v="0"/>
    <n v="77"/>
    <n v="84"/>
    <n v="0"/>
    <n v="154.44999999999999"/>
    <n v="52.59"/>
    <m/>
    <n v="170.82207157873242"/>
    <n v="47.817929988029796"/>
    <n v="0"/>
    <n v="5905.92"/>
    <n v="0"/>
    <n v="6236.8622161215826"/>
    <x v="3"/>
  </r>
  <r>
    <s v="Regular"/>
    <x v="1"/>
    <x v="1"/>
    <x v="2"/>
    <x v="3"/>
    <x v="0"/>
    <x v="0"/>
    <x v="1"/>
    <x v="2"/>
    <n v="0"/>
    <n v="0"/>
    <n v="15.48"/>
    <n v="15.48"/>
    <n v="15.48"/>
    <n v="15.48"/>
    <n v="9"/>
    <s v="CATIVO"/>
    <n v="0"/>
    <n v="0"/>
    <n v="77"/>
    <n v="84"/>
    <n v="0"/>
    <n v="154.44999999999999"/>
    <n v="52.59"/>
    <m/>
    <n v="170.82207157873242"/>
    <n v="47.817929988029796"/>
    <n v="0"/>
    <n v="5952.06"/>
    <n v="0"/>
    <n v="6285.5877021850329"/>
    <x v="3"/>
  </r>
  <r>
    <s v="Regular"/>
    <x v="1"/>
    <x v="1"/>
    <x v="2"/>
    <x v="3"/>
    <x v="0"/>
    <x v="0"/>
    <x v="1"/>
    <x v="3"/>
    <n v="0"/>
    <n v="0"/>
    <n v="15.587999999999999"/>
    <n v="15.587999999999999"/>
    <n v="15.587999999999999"/>
    <n v="15.587999999999999"/>
    <n v="8"/>
    <s v="CATIVO"/>
    <n v="0"/>
    <n v="0"/>
    <n v="77"/>
    <n v="84"/>
    <n v="0"/>
    <n v="154.44999999999999"/>
    <n v="52.59"/>
    <m/>
    <n v="170.82207157873242"/>
    <n v="47.817929988029796"/>
    <n v="0"/>
    <n v="5993.5859999999993"/>
    <n v="0"/>
    <n v="6329.4406396421373"/>
    <x v="3"/>
  </r>
  <r>
    <s v="Regular"/>
    <x v="1"/>
    <x v="1"/>
    <x v="2"/>
    <x v="3"/>
    <x v="0"/>
    <x v="0"/>
    <x v="1"/>
    <x v="4"/>
    <n v="0"/>
    <n v="0"/>
    <n v="15.54"/>
    <n v="15.54"/>
    <n v="15.54"/>
    <n v="15.54"/>
    <n v="7"/>
    <s v="CATIVO"/>
    <n v="0"/>
    <n v="0"/>
    <n v="77"/>
    <n v="84"/>
    <n v="0"/>
    <n v="154.44999999999999"/>
    <n v="52.59"/>
    <m/>
    <n v="170.82207157873242"/>
    <n v="47.817929988029796"/>
    <n v="0"/>
    <n v="5975.13"/>
    <n v="0"/>
    <n v="6309.9504452167566"/>
    <x v="3"/>
  </r>
  <r>
    <s v="Regular"/>
    <x v="1"/>
    <x v="1"/>
    <x v="2"/>
    <x v="3"/>
    <x v="0"/>
    <x v="0"/>
    <x v="1"/>
    <x v="5"/>
    <n v="0"/>
    <n v="0"/>
    <n v="15.72"/>
    <n v="15.72"/>
    <n v="15.72"/>
    <n v="15.72"/>
    <n v="9"/>
    <s v="CATIVO"/>
    <n v="0"/>
    <n v="0"/>
    <n v="77"/>
    <n v="84"/>
    <n v="0"/>
    <n v="154.44999999999999"/>
    <n v="52.59"/>
    <m/>
    <n v="170.82207157873242"/>
    <n v="47.817929988029796"/>
    <n v="0"/>
    <n v="6044.34"/>
    <n v="0"/>
    <n v="6383.0386743119325"/>
    <x v="3"/>
  </r>
  <r>
    <s v="Regular"/>
    <x v="1"/>
    <x v="1"/>
    <x v="2"/>
    <x v="3"/>
    <x v="0"/>
    <x v="0"/>
    <x v="1"/>
    <x v="6"/>
    <n v="0"/>
    <n v="0"/>
    <n v="16.2"/>
    <n v="16.2"/>
    <n v="16.2"/>
    <n v="16.2"/>
    <n v="10"/>
    <s v="CATIVO"/>
    <n v="0"/>
    <n v="0"/>
    <n v="77"/>
    <n v="84"/>
    <n v="0"/>
    <n v="154.44999999999999"/>
    <n v="52.59"/>
    <m/>
    <n v="170.82207157873242"/>
    <n v="47.817929988029796"/>
    <n v="0"/>
    <n v="6228.9"/>
    <n v="0"/>
    <n v="6577.9406185657317"/>
    <x v="3"/>
  </r>
  <r>
    <s v="Regular"/>
    <x v="1"/>
    <x v="1"/>
    <x v="2"/>
    <x v="3"/>
    <x v="0"/>
    <x v="0"/>
    <x v="1"/>
    <x v="7"/>
    <n v="0"/>
    <n v="0"/>
    <n v="16.71"/>
    <n v="16.71"/>
    <n v="16.71"/>
    <n v="16.71"/>
    <n v="9"/>
    <s v="CATIVO"/>
    <n v="0"/>
    <n v="0"/>
    <n v="77"/>
    <n v="84"/>
    <n v="0"/>
    <n v="154.44999999999999"/>
    <n v="52.59"/>
    <m/>
    <n v="170.82207157873242"/>
    <n v="47.817929988029796"/>
    <n v="0"/>
    <n v="6424.9949999999999"/>
    <n v="0"/>
    <n v="6785.0239343353942"/>
    <x v="3"/>
  </r>
  <r>
    <s v="Regular"/>
    <x v="1"/>
    <x v="1"/>
    <x v="2"/>
    <x v="3"/>
    <x v="0"/>
    <x v="0"/>
    <x v="1"/>
    <x v="8"/>
    <n v="0"/>
    <n v="0"/>
    <n v="18.239999999999998"/>
    <n v="18.239999999999998"/>
    <n v="18.239999999999998"/>
    <n v="18.239999999999998"/>
    <n v="12"/>
    <s v="CATIVO"/>
    <n v="0"/>
    <n v="0"/>
    <n v="77"/>
    <n v="84"/>
    <n v="0"/>
    <n v="154.44999999999999"/>
    <n v="52.59"/>
    <m/>
    <n v="170.82207157873242"/>
    <n v="47.817929988029796"/>
    <n v="0"/>
    <n v="7013.28"/>
    <n v="0"/>
    <n v="7406.2738816443789"/>
    <x v="3"/>
  </r>
  <r>
    <s v="Regular"/>
    <x v="1"/>
    <x v="1"/>
    <x v="2"/>
    <x v="3"/>
    <x v="0"/>
    <x v="0"/>
    <x v="1"/>
    <x v="9"/>
    <n v="0"/>
    <n v="0"/>
    <n v="15.78"/>
    <n v="15.78"/>
    <n v="15.78"/>
    <n v="15.78"/>
    <n v="7"/>
    <s v="CATIVO"/>
    <n v="0"/>
    <n v="0"/>
    <n v="77"/>
    <n v="84"/>
    <n v="0"/>
    <n v="154.44999999999999"/>
    <n v="52.59"/>
    <m/>
    <n v="170.82207157873242"/>
    <n v="47.817929988029796"/>
    <n v="0"/>
    <n v="6067.41"/>
    <n v="0"/>
    <n v="6407.4014173436572"/>
    <x v="3"/>
  </r>
  <r>
    <s v="Refaturamento - Regular"/>
    <x v="1"/>
    <x v="1"/>
    <x v="2"/>
    <x v="3"/>
    <x v="0"/>
    <x v="0"/>
    <x v="1"/>
    <x v="9"/>
    <n v="0"/>
    <n v="0"/>
    <n v="0.03"/>
    <n v="0.03"/>
    <n v="0.03"/>
    <n v="0.03"/>
    <n v="0"/>
    <s v="CATIVO"/>
    <n v="0"/>
    <n v="0"/>
    <n v="77"/>
    <n v="84"/>
    <n v="0"/>
    <n v="154.44999999999999"/>
    <n v="52.59"/>
    <m/>
    <n v="170.82207157873242"/>
    <n v="47.817929988029796"/>
    <n v="0"/>
    <n v="11.535"/>
    <n v="0"/>
    <n v="12.181371515862466"/>
    <x v="3"/>
  </r>
  <r>
    <s v="Regular"/>
    <x v="1"/>
    <x v="1"/>
    <x v="2"/>
    <x v="3"/>
    <x v="0"/>
    <x v="0"/>
    <x v="1"/>
    <x v="10"/>
    <n v="0"/>
    <n v="0"/>
    <n v="15.99"/>
    <n v="15.99"/>
    <n v="15.99"/>
    <n v="15.99"/>
    <n v="10"/>
    <s v="CATIVO"/>
    <n v="0"/>
    <n v="0"/>
    <n v="77"/>
    <n v="84"/>
    <n v="0"/>
    <n v="154.44999999999999"/>
    <n v="52.59"/>
    <m/>
    <n v="170.82207157873242"/>
    <n v="47.817929988029796"/>
    <n v="0"/>
    <n v="6148.1549999999997"/>
    <n v="0"/>
    <n v="6492.6710179546944"/>
    <x v="3"/>
  </r>
  <r>
    <s v="Refaturamento - Regular"/>
    <x v="1"/>
    <x v="1"/>
    <x v="2"/>
    <x v="3"/>
    <x v="0"/>
    <x v="0"/>
    <x v="1"/>
    <x v="10"/>
    <n v="0"/>
    <n v="0"/>
    <n v="0.06"/>
    <n v="0.06"/>
    <n v="0.06"/>
    <n v="0.06"/>
    <n v="0"/>
    <s v="CATIVO"/>
    <n v="0"/>
    <n v="0"/>
    <n v="77"/>
    <n v="84"/>
    <n v="0"/>
    <n v="154.44999999999999"/>
    <n v="52.59"/>
    <m/>
    <n v="170.82207157873242"/>
    <n v="47.817929988029796"/>
    <n v="0"/>
    <n v="23.07"/>
    <n v="0"/>
    <n v="24.362743031724932"/>
    <x v="3"/>
  </r>
  <r>
    <s v="PROJETADO"/>
    <x v="1"/>
    <x v="1"/>
    <x v="2"/>
    <x v="3"/>
    <x v="0"/>
    <x v="0"/>
    <x v="1"/>
    <x v="11"/>
    <n v="0"/>
    <n v="0"/>
    <n v="15.99"/>
    <n v="15.99"/>
    <n v="15.99"/>
    <n v="15.99"/>
    <n v="10"/>
    <s v="CATIVO"/>
    <n v="0"/>
    <n v="0"/>
    <n v="77"/>
    <n v="84"/>
    <n v="0"/>
    <n v="154.44999999999999"/>
    <n v="52.59"/>
    <m/>
    <n v="170.82207157873242"/>
    <n v="47.817929988029796"/>
    <n v="0"/>
    <n v="6148.1549999999997"/>
    <n v="0"/>
    <n v="6492.6710179546944"/>
    <x v="3"/>
  </r>
  <r>
    <s v="PROJETADO"/>
    <x v="1"/>
    <x v="1"/>
    <x v="2"/>
    <x v="3"/>
    <x v="0"/>
    <x v="0"/>
    <x v="1"/>
    <x v="11"/>
    <n v="0"/>
    <n v="0"/>
    <n v="0.06"/>
    <n v="0.06"/>
    <n v="0.06"/>
    <n v="0.06"/>
    <n v="0"/>
    <s v="CATIVO"/>
    <n v="0"/>
    <n v="0"/>
    <n v="77"/>
    <n v="84"/>
    <n v="0"/>
    <n v="154.44999999999999"/>
    <n v="52.59"/>
    <m/>
    <n v="170.82207157873242"/>
    <n v="47.817929988029796"/>
    <n v="0"/>
    <n v="23.07"/>
    <n v="0"/>
    <n v="24.362743031724932"/>
    <x v="3"/>
  </r>
  <r>
    <s v="Regular"/>
    <x v="1"/>
    <x v="1"/>
    <x v="2"/>
    <x v="4"/>
    <x v="0"/>
    <x v="0"/>
    <x v="1"/>
    <x v="0"/>
    <n v="0"/>
    <n v="0"/>
    <n v="32.567999999999998"/>
    <n v="32.567999999999998"/>
    <n v="32.567999999999998"/>
    <n v="32.567999999999998"/>
    <n v="64"/>
    <s v="CATIVO"/>
    <n v="0"/>
    <n v="0"/>
    <n v="39"/>
    <n v="85"/>
    <n v="0"/>
    <n v="264.77"/>
    <n v="90.16"/>
    <m/>
    <n v="292.83783699211273"/>
    <n v="81.973594265193938"/>
    <n v="0"/>
    <n v="7705.9144799999995"/>
    <n v="0"/>
    <n v="8137.9057954586424"/>
    <x v="3"/>
  </r>
  <r>
    <s v="Regular"/>
    <x v="1"/>
    <x v="1"/>
    <x v="2"/>
    <x v="4"/>
    <x v="0"/>
    <x v="0"/>
    <x v="1"/>
    <x v="1"/>
    <n v="0"/>
    <n v="0"/>
    <n v="33.476999999999997"/>
    <n v="33.476999999999997"/>
    <n v="33.476999999999997"/>
    <n v="33.476999999999997"/>
    <n v="58"/>
    <s v="CATIVO"/>
    <n v="0"/>
    <n v="0"/>
    <n v="39"/>
    <n v="85"/>
    <n v="0"/>
    <n v="264.77"/>
    <n v="90.16"/>
    <m/>
    <n v="292.83783699211273"/>
    <n v="81.973594265193938"/>
    <n v="0"/>
    <n v="7920.9929699999984"/>
    <n v="0"/>
    <n v="8365.0415228005695"/>
    <x v="3"/>
  </r>
  <r>
    <s v="Refaturamento - Regular"/>
    <x v="1"/>
    <x v="1"/>
    <x v="2"/>
    <x v="4"/>
    <x v="0"/>
    <x v="0"/>
    <x v="1"/>
    <x v="1"/>
    <n v="0"/>
    <n v="0"/>
    <n v="7.0000000000000007E-2"/>
    <n v="7.0000000000000007E-2"/>
    <n v="7.0000000000000007E-2"/>
    <n v="7.0000000000000007E-2"/>
    <n v="0"/>
    <s v="CATIVO"/>
    <n v="0"/>
    <n v="0"/>
    <n v="39"/>
    <n v="85"/>
    <n v="0"/>
    <n v="264.77"/>
    <n v="90.16"/>
    <m/>
    <n v="292.83783699211273"/>
    <n v="81.973594265193938"/>
    <n v="0"/>
    <n v="16.5627"/>
    <n v="0"/>
    <n v="17.491200125340981"/>
    <x v="3"/>
  </r>
  <r>
    <s v="Regular"/>
    <x v="1"/>
    <x v="1"/>
    <x v="2"/>
    <x v="4"/>
    <x v="0"/>
    <x v="0"/>
    <x v="1"/>
    <x v="2"/>
    <n v="0"/>
    <n v="0"/>
    <n v="34.073"/>
    <n v="34.073"/>
    <n v="34.073"/>
    <n v="34.073"/>
    <n v="58"/>
    <s v="CATIVO"/>
    <n v="0"/>
    <n v="0"/>
    <n v="39"/>
    <n v="85"/>
    <n v="0"/>
    <n v="264.77"/>
    <n v="90.16"/>
    <m/>
    <n v="292.83783699211273"/>
    <n v="81.973594265193938"/>
    <n v="0"/>
    <n v="8062.01253"/>
    <n v="0"/>
    <n v="8513.9665981534745"/>
    <x v="3"/>
  </r>
  <r>
    <s v="Regular"/>
    <x v="1"/>
    <x v="1"/>
    <x v="2"/>
    <x v="4"/>
    <x v="0"/>
    <x v="0"/>
    <x v="1"/>
    <x v="3"/>
    <n v="0"/>
    <n v="0"/>
    <n v="34.677"/>
    <n v="34.677"/>
    <n v="34.677"/>
    <n v="34.677"/>
    <n v="50"/>
    <s v="CATIVO"/>
    <n v="0"/>
    <n v="0"/>
    <n v="39"/>
    <n v="85"/>
    <n v="0"/>
    <n v="264.77"/>
    <n v="90.16"/>
    <m/>
    <n v="292.83783699211273"/>
    <n v="81.973594265193938"/>
    <n v="0"/>
    <n v="8204.92497"/>
    <n v="0"/>
    <n v="8664.8906678064159"/>
    <x v="3"/>
  </r>
  <r>
    <s v="Regular"/>
    <x v="1"/>
    <x v="1"/>
    <x v="2"/>
    <x v="4"/>
    <x v="0"/>
    <x v="0"/>
    <x v="1"/>
    <x v="4"/>
    <n v="0"/>
    <n v="0"/>
    <n v="35.03"/>
    <n v="35.03"/>
    <n v="35.03"/>
    <n v="35.03"/>
    <n v="38"/>
    <s v="CATIVO"/>
    <n v="0"/>
    <n v="0"/>
    <n v="39"/>
    <n v="85"/>
    <n v="0"/>
    <n v="264.77"/>
    <n v="90.16"/>
    <m/>
    <n v="292.83783699211273"/>
    <n v="81.973594265193938"/>
    <n v="0"/>
    <n v="8288.4483"/>
    <n v="0"/>
    <n v="8753.0962912956347"/>
    <x v="3"/>
  </r>
  <r>
    <s v="Regular"/>
    <x v="1"/>
    <x v="1"/>
    <x v="2"/>
    <x v="4"/>
    <x v="0"/>
    <x v="0"/>
    <x v="1"/>
    <x v="5"/>
    <n v="0"/>
    <n v="0"/>
    <n v="35.380000000000003"/>
    <n v="35.380000000000003"/>
    <n v="35.380000000000003"/>
    <n v="35.380000000000003"/>
    <n v="43"/>
    <s v="CATIVO"/>
    <n v="0"/>
    <n v="0"/>
    <n v="39"/>
    <n v="85"/>
    <n v="0"/>
    <n v="264.77"/>
    <n v="90.16"/>
    <m/>
    <n v="292.83783699211273"/>
    <n v="81.973594265193938"/>
    <n v="0"/>
    <n v="8371.2618000000002"/>
    <n v="0"/>
    <n v="8840.5522919223404"/>
    <x v="3"/>
  </r>
  <r>
    <s v="Regular"/>
    <x v="1"/>
    <x v="1"/>
    <x v="2"/>
    <x v="4"/>
    <x v="0"/>
    <x v="0"/>
    <x v="1"/>
    <x v="6"/>
    <n v="0"/>
    <n v="0"/>
    <n v="36.347999999999999"/>
    <n v="36.347999999999999"/>
    <n v="36.347999999999999"/>
    <n v="36.347999999999999"/>
    <n v="43"/>
    <s v="CATIVO"/>
    <n v="0"/>
    <n v="0"/>
    <n v="39"/>
    <n v="85"/>
    <n v="0"/>
    <n v="264.77"/>
    <n v="90.16"/>
    <m/>
    <n v="292.83783699211273"/>
    <n v="81.973594265193938"/>
    <n v="0"/>
    <n v="8600.3002799999995"/>
    <n v="0"/>
    <n v="9082.4306022270557"/>
    <x v="3"/>
  </r>
  <r>
    <s v="Refaturamento - Regular"/>
    <x v="1"/>
    <x v="1"/>
    <x v="2"/>
    <x v="4"/>
    <x v="0"/>
    <x v="0"/>
    <x v="1"/>
    <x v="6"/>
    <n v="0"/>
    <n v="0"/>
    <n v="7.0000000000000007E-2"/>
    <n v="7.0000000000000007E-2"/>
    <n v="7.0000000000000007E-2"/>
    <n v="7.0000000000000007E-2"/>
    <n v="0"/>
    <s v="CATIVO"/>
    <n v="0"/>
    <n v="0"/>
    <n v="39"/>
    <n v="85"/>
    <n v="0"/>
    <n v="264.77"/>
    <n v="90.16"/>
    <m/>
    <n v="292.83783699211273"/>
    <n v="81.973594265193938"/>
    <n v="0"/>
    <n v="16.5627"/>
    <n v="0"/>
    <n v="17.491200125340981"/>
    <x v="3"/>
  </r>
  <r>
    <s v="Regular"/>
    <x v="1"/>
    <x v="1"/>
    <x v="2"/>
    <x v="4"/>
    <x v="0"/>
    <x v="0"/>
    <x v="1"/>
    <x v="7"/>
    <n v="0"/>
    <n v="0"/>
    <n v="37.302"/>
    <n v="37.302"/>
    <n v="37.302"/>
    <n v="37.302"/>
    <n v="50"/>
    <s v="CATIVO"/>
    <n v="0"/>
    <n v="0"/>
    <n v="39"/>
    <n v="85"/>
    <n v="0"/>
    <n v="264.77"/>
    <n v="90.16"/>
    <m/>
    <n v="292.83783699211273"/>
    <n v="81.973594265193938"/>
    <n v="0"/>
    <n v="8826.0262199999997"/>
    <n v="0"/>
    <n v="9320.8106725067028"/>
    <x v="3"/>
  </r>
  <r>
    <s v="Regular"/>
    <x v="1"/>
    <x v="1"/>
    <x v="2"/>
    <x v="4"/>
    <x v="0"/>
    <x v="0"/>
    <x v="1"/>
    <x v="8"/>
    <n v="0"/>
    <n v="0"/>
    <n v="38.965000000000003"/>
    <n v="38.965000000000003"/>
    <n v="38.965000000000003"/>
    <n v="38.965000000000003"/>
    <n v="97"/>
    <s v="CATIVO"/>
    <n v="0"/>
    <n v="0"/>
    <n v="39"/>
    <n v="85"/>
    <n v="0"/>
    <n v="264.77"/>
    <n v="90.16"/>
    <m/>
    <n v="292.83783699211273"/>
    <n v="81.973594265193938"/>
    <n v="0"/>
    <n v="9219.5086499999998"/>
    <n v="0"/>
    <n v="9736.3516126273043"/>
    <x v="3"/>
  </r>
  <r>
    <s v="Regular"/>
    <x v="1"/>
    <x v="1"/>
    <x v="2"/>
    <x v="4"/>
    <x v="0"/>
    <x v="0"/>
    <x v="1"/>
    <x v="9"/>
    <n v="0"/>
    <n v="0"/>
    <n v="33.924999999999997"/>
    <n v="33.924999999999997"/>
    <n v="33.924999999999997"/>
    <n v="33.924999999999997"/>
    <n v="78"/>
    <s v="CATIVO"/>
    <n v="0"/>
    <n v="0"/>
    <n v="39"/>
    <n v="85"/>
    <n v="0"/>
    <n v="264.77"/>
    <n v="90.16"/>
    <m/>
    <n v="292.83783699211273"/>
    <n v="81.973594265193938"/>
    <n v="0"/>
    <n v="8026.9942499999988"/>
    <n v="0"/>
    <n v="8476.9852036027514"/>
    <x v="3"/>
  </r>
  <r>
    <s v="Refaturamento - Regular"/>
    <x v="1"/>
    <x v="1"/>
    <x v="2"/>
    <x v="4"/>
    <x v="0"/>
    <x v="0"/>
    <x v="1"/>
    <x v="9"/>
    <n v="0"/>
    <n v="0"/>
    <n v="0.02"/>
    <n v="0.02"/>
    <n v="0.02"/>
    <n v="0.02"/>
    <n v="0"/>
    <s v="CATIVO"/>
    <n v="0"/>
    <n v="0"/>
    <n v="39"/>
    <n v="85"/>
    <n v="0"/>
    <n v="264.77"/>
    <n v="90.16"/>
    <m/>
    <n v="292.83783699211273"/>
    <n v="81.973594265193938"/>
    <n v="0"/>
    <n v="4.7321999999999997"/>
    <n v="0"/>
    <n v="4.9974857500974226"/>
    <x v="3"/>
  </r>
  <r>
    <s v="Regular"/>
    <x v="1"/>
    <x v="1"/>
    <x v="2"/>
    <x v="4"/>
    <x v="0"/>
    <x v="0"/>
    <x v="1"/>
    <x v="10"/>
    <n v="0"/>
    <n v="0"/>
    <n v="34.805"/>
    <n v="34.805"/>
    <n v="34.805"/>
    <n v="34.805"/>
    <n v="72"/>
    <s v="CATIVO"/>
    <n v="0"/>
    <n v="0"/>
    <n v="39"/>
    <n v="85"/>
    <n v="0"/>
    <n v="264.77"/>
    <n v="90.16"/>
    <m/>
    <n v="292.83783699211273"/>
    <n v="81.973594265193938"/>
    <n v="0"/>
    <n v="8235.2110499999999"/>
    <n v="0"/>
    <n v="8696.8745766070388"/>
    <x v="3"/>
  </r>
  <r>
    <s v="Refaturamento - Regular"/>
    <x v="1"/>
    <x v="1"/>
    <x v="2"/>
    <x v="4"/>
    <x v="0"/>
    <x v="0"/>
    <x v="1"/>
    <x v="10"/>
    <n v="0"/>
    <n v="0"/>
    <n v="0.14000000000000001"/>
    <n v="0.14000000000000001"/>
    <n v="0.14000000000000001"/>
    <n v="0.14000000000000001"/>
    <n v="0"/>
    <s v="CATIVO"/>
    <n v="0"/>
    <n v="0"/>
    <n v="39"/>
    <n v="85"/>
    <n v="0"/>
    <n v="264.77"/>
    <n v="90.16"/>
    <m/>
    <n v="292.83783699211273"/>
    <n v="81.973594265193938"/>
    <n v="0"/>
    <n v="33.125399999999999"/>
    <n v="0"/>
    <n v="34.982400250681962"/>
    <x v="3"/>
  </r>
  <r>
    <s v="PROJETADO"/>
    <x v="1"/>
    <x v="1"/>
    <x v="2"/>
    <x v="4"/>
    <x v="0"/>
    <x v="0"/>
    <x v="1"/>
    <x v="11"/>
    <n v="0"/>
    <n v="0"/>
    <n v="34.805"/>
    <n v="34.805"/>
    <n v="34.805"/>
    <n v="34.805"/>
    <n v="72"/>
    <s v="CATIVO"/>
    <n v="0"/>
    <n v="0"/>
    <n v="39"/>
    <n v="85"/>
    <n v="0"/>
    <n v="264.77"/>
    <n v="90.16"/>
    <m/>
    <n v="292.83783699211273"/>
    <n v="81.973594265193938"/>
    <n v="0"/>
    <n v="8235.2110499999999"/>
    <n v="0"/>
    <n v="8696.8745766070388"/>
    <x v="3"/>
  </r>
  <r>
    <s v="PROJETADO"/>
    <x v="1"/>
    <x v="1"/>
    <x v="2"/>
    <x v="4"/>
    <x v="0"/>
    <x v="0"/>
    <x v="1"/>
    <x v="11"/>
    <n v="0"/>
    <n v="0"/>
    <n v="0.14000000000000001"/>
    <n v="0.14000000000000001"/>
    <n v="0.14000000000000001"/>
    <n v="0.14000000000000001"/>
    <n v="0"/>
    <s v="CATIVO"/>
    <n v="0"/>
    <n v="0"/>
    <n v="39"/>
    <n v="85"/>
    <n v="0"/>
    <n v="264.77"/>
    <n v="90.16"/>
    <m/>
    <n v="292.83783699211273"/>
    <n v="81.973594265193938"/>
    <n v="0"/>
    <n v="33.125399999999999"/>
    <n v="0"/>
    <n v="34.982400250681962"/>
    <x v="3"/>
  </r>
  <r>
    <s v="Regular"/>
    <x v="1"/>
    <x v="1"/>
    <x v="2"/>
    <x v="5"/>
    <x v="0"/>
    <x v="0"/>
    <x v="1"/>
    <x v="0"/>
    <n v="0"/>
    <n v="0"/>
    <n v="37.183"/>
    <n v="37.183"/>
    <n v="37.183"/>
    <n v="37.183"/>
    <n v="237"/>
    <s v="CATIVO"/>
    <n v="0"/>
    <n v="0"/>
    <n v="36"/>
    <n v="86"/>
    <n v="0"/>
    <n v="397.15"/>
    <n v="135.24"/>
    <m/>
    <n v="439.25675548816912"/>
    <n v="122.96039139779091"/>
    <n v="0"/>
    <n v="2199.3744499999993"/>
    <n v="0"/>
    <n v="2322.768908073404"/>
    <x v="3"/>
  </r>
  <r>
    <s v="Regular"/>
    <x v="1"/>
    <x v="1"/>
    <x v="2"/>
    <x v="5"/>
    <x v="0"/>
    <x v="0"/>
    <x v="1"/>
    <x v="1"/>
    <n v="0"/>
    <n v="0"/>
    <n v="36.628"/>
    <n v="36.628"/>
    <n v="36.628"/>
    <n v="36.628"/>
    <n v="268"/>
    <s v="CATIVO"/>
    <n v="0"/>
    <n v="0"/>
    <n v="36"/>
    <n v="86"/>
    <n v="0"/>
    <n v="397.15"/>
    <n v="135.24"/>
    <m/>
    <n v="439.25675548816912"/>
    <n v="122.96039139779091"/>
    <n v="0"/>
    <n v="2166.5461999999993"/>
    <n v="0"/>
    <n v="2288.0988506821031"/>
    <x v="3"/>
  </r>
  <r>
    <s v="Refaturamento - Regular"/>
    <x v="1"/>
    <x v="1"/>
    <x v="2"/>
    <x v="5"/>
    <x v="0"/>
    <x v="0"/>
    <x v="1"/>
    <x v="1"/>
    <n v="0"/>
    <n v="0"/>
    <n v="0.10199999999999999"/>
    <n v="0.10199999999999999"/>
    <n v="0.10199999999999999"/>
    <n v="0.10199999999999999"/>
    <n v="0"/>
    <s v="CATIVO"/>
    <n v="0"/>
    <n v="0"/>
    <n v="36"/>
    <n v="86"/>
    <n v="0"/>
    <n v="397.15"/>
    <n v="135.24"/>
    <m/>
    <n v="439.25675548816912"/>
    <n v="122.96039139779091"/>
    <n v="0"/>
    <n v="6.033299999999997"/>
    <n v="0"/>
    <n v="6.3717943313742085"/>
    <x v="3"/>
  </r>
  <r>
    <s v="Regular"/>
    <x v="1"/>
    <x v="1"/>
    <x v="2"/>
    <x v="5"/>
    <x v="0"/>
    <x v="0"/>
    <x v="1"/>
    <x v="2"/>
    <n v="0"/>
    <n v="0"/>
    <n v="38.396000000000001"/>
    <n v="38.396000000000001"/>
    <n v="38.396000000000001"/>
    <n v="38.396000000000001"/>
    <n v="266"/>
    <s v="CATIVO"/>
    <n v="0"/>
    <n v="0"/>
    <n v="36"/>
    <n v="86"/>
    <n v="0"/>
    <n v="397.15"/>
    <n v="135.24"/>
    <m/>
    <n v="439.25675548816912"/>
    <n v="122.96039139779091"/>
    <n v="0"/>
    <n v="2271.123399999999"/>
    <n v="0"/>
    <n v="2398.5432857592564"/>
    <x v="3"/>
  </r>
  <r>
    <s v="Refaturamento - Regular"/>
    <x v="1"/>
    <x v="1"/>
    <x v="2"/>
    <x v="5"/>
    <x v="0"/>
    <x v="0"/>
    <x v="1"/>
    <x v="2"/>
    <n v="0"/>
    <n v="0"/>
    <n v="-0.12"/>
    <n v="-0.12"/>
    <n v="-0.12"/>
    <n v="-0.12"/>
    <n v="0"/>
    <s v="CATIVO"/>
    <n v="0"/>
    <n v="0"/>
    <n v="36"/>
    <n v="86"/>
    <n v="0"/>
    <n v="397.15"/>
    <n v="135.24"/>
    <m/>
    <n v="439.25675548816912"/>
    <n v="122.96039139779091"/>
    <n v="0"/>
    <n v="-7.0979999999999972"/>
    <n v="0"/>
    <n v="-7.4962286251461281"/>
    <x v="3"/>
  </r>
  <r>
    <s v="Regular"/>
    <x v="1"/>
    <x v="1"/>
    <x v="2"/>
    <x v="5"/>
    <x v="0"/>
    <x v="0"/>
    <x v="1"/>
    <x v="3"/>
    <n v="0"/>
    <n v="0"/>
    <n v="40.651000000000003"/>
    <n v="40.651000000000003"/>
    <n v="40.651000000000003"/>
    <n v="40.651000000000003"/>
    <n v="254"/>
    <s v="CATIVO"/>
    <n v="0"/>
    <n v="0"/>
    <n v="36"/>
    <n v="86"/>
    <n v="0"/>
    <n v="397.15"/>
    <n v="135.24"/>
    <m/>
    <n v="439.25675548816912"/>
    <n v="122.96039139779091"/>
    <n v="0"/>
    <n v="2404.5066499999994"/>
    <n v="0"/>
    <n v="2539.4099153401276"/>
    <x v="3"/>
  </r>
  <r>
    <s v="Refaturamento - Regular"/>
    <x v="1"/>
    <x v="1"/>
    <x v="2"/>
    <x v="5"/>
    <x v="0"/>
    <x v="0"/>
    <x v="1"/>
    <x v="3"/>
    <n v="0"/>
    <n v="0"/>
    <n v="-0.12"/>
    <n v="-0.12"/>
    <n v="-0.12"/>
    <n v="-0.12"/>
    <n v="0"/>
    <s v="CATIVO"/>
    <n v="0"/>
    <n v="0"/>
    <n v="36"/>
    <n v="86"/>
    <n v="0"/>
    <n v="397.15"/>
    <n v="135.24"/>
    <m/>
    <n v="439.25675548816912"/>
    <n v="122.96039139779091"/>
    <n v="0"/>
    <n v="-7.0979999999999972"/>
    <n v="0"/>
    <n v="-7.4962286251461281"/>
    <x v="3"/>
  </r>
  <r>
    <s v="Regular"/>
    <x v="1"/>
    <x v="1"/>
    <x v="2"/>
    <x v="5"/>
    <x v="0"/>
    <x v="0"/>
    <x v="1"/>
    <x v="4"/>
    <n v="0"/>
    <n v="0"/>
    <n v="46.091999999999999"/>
    <n v="46.091999999999999"/>
    <n v="46.091999999999999"/>
    <n v="46.091999999999999"/>
    <n v="201"/>
    <s v="CATIVO"/>
    <n v="0"/>
    <n v="0"/>
    <n v="36"/>
    <n v="86"/>
    <n v="0"/>
    <n v="397.15"/>
    <n v="135.24"/>
    <m/>
    <n v="439.25675548816912"/>
    <n v="122.96039139779091"/>
    <n v="0"/>
    <n v="2726.3417999999988"/>
    <n v="0"/>
    <n v="2879.3014149186279"/>
    <x v="3"/>
  </r>
  <r>
    <s v="Regular"/>
    <x v="1"/>
    <x v="1"/>
    <x v="2"/>
    <x v="5"/>
    <x v="0"/>
    <x v="0"/>
    <x v="1"/>
    <x v="5"/>
    <n v="0"/>
    <n v="0"/>
    <n v="45.088000000000001"/>
    <n v="45.088000000000001"/>
    <n v="45.088000000000001"/>
    <n v="45.088000000000001"/>
    <n v="218"/>
    <s v="CATIVO"/>
    <n v="0"/>
    <n v="0"/>
    <n v="36"/>
    <n v="86"/>
    <n v="0"/>
    <n v="397.15"/>
    <n v="135.24"/>
    <m/>
    <n v="439.25675548816912"/>
    <n v="122.96039139779091"/>
    <n v="0"/>
    <n v="2666.955199999999"/>
    <n v="0"/>
    <n v="2816.5829687549053"/>
    <x v="3"/>
  </r>
  <r>
    <s v="Regular"/>
    <x v="1"/>
    <x v="1"/>
    <x v="2"/>
    <x v="5"/>
    <x v="0"/>
    <x v="0"/>
    <x v="1"/>
    <x v="6"/>
    <n v="0"/>
    <n v="0"/>
    <n v="44.905999999999999"/>
    <n v="44.905999999999999"/>
    <n v="44.905999999999999"/>
    <n v="44.905999999999999"/>
    <n v="249"/>
    <s v="CATIVO"/>
    <n v="0"/>
    <n v="0"/>
    <n v="36"/>
    <n v="86"/>
    <n v="0"/>
    <n v="397.15"/>
    <n v="135.24"/>
    <m/>
    <n v="439.25675548816912"/>
    <n v="122.96039139779091"/>
    <n v="0"/>
    <n v="2656.1898999999989"/>
    <n v="0"/>
    <n v="2805.2136886734338"/>
    <x v="3"/>
  </r>
  <r>
    <s v="Refaturamento - Regular"/>
    <x v="1"/>
    <x v="1"/>
    <x v="2"/>
    <x v="5"/>
    <x v="0"/>
    <x v="0"/>
    <x v="1"/>
    <x v="6"/>
    <n v="0"/>
    <n v="0"/>
    <n v="0.03"/>
    <n v="0.03"/>
    <n v="0.03"/>
    <n v="0.03"/>
    <n v="0"/>
    <s v="CATIVO"/>
    <n v="0"/>
    <n v="0"/>
    <n v="36"/>
    <n v="86"/>
    <n v="0"/>
    <n v="397.15"/>
    <n v="135.24"/>
    <m/>
    <n v="439.25675548816912"/>
    <n v="122.96039139779091"/>
    <n v="0"/>
    <n v="1.7744999999999993"/>
    <n v="0"/>
    <n v="1.874057156286532"/>
    <x v="3"/>
  </r>
  <r>
    <s v="Regular"/>
    <x v="1"/>
    <x v="1"/>
    <x v="2"/>
    <x v="5"/>
    <x v="0"/>
    <x v="0"/>
    <x v="1"/>
    <x v="7"/>
    <n v="0"/>
    <n v="0"/>
    <n v="44.447000000000003"/>
    <n v="44.447000000000003"/>
    <n v="44.447000000000003"/>
    <n v="44.447000000000003"/>
    <n v="273"/>
    <s v="CATIVO"/>
    <n v="0"/>
    <n v="0"/>
    <n v="36"/>
    <n v="86"/>
    <n v="0"/>
    <n v="397.15"/>
    <n v="135.24"/>
    <m/>
    <n v="439.25675548816912"/>
    <n v="122.96039139779091"/>
    <n v="0"/>
    <n v="2629.0400499999992"/>
    <n v="0"/>
    <n v="2776.54061418225"/>
    <x v="3"/>
  </r>
  <r>
    <s v="Regular"/>
    <x v="1"/>
    <x v="1"/>
    <x v="2"/>
    <x v="5"/>
    <x v="0"/>
    <x v="0"/>
    <x v="1"/>
    <x v="8"/>
    <n v="0"/>
    <n v="0"/>
    <n v="40.914999999999999"/>
    <n v="40.914999999999999"/>
    <n v="40.914999999999999"/>
    <n v="40.914999999999999"/>
    <n v="311"/>
    <s v="CATIVO"/>
    <n v="0"/>
    <n v="0"/>
    <n v="36"/>
    <n v="86"/>
    <n v="0"/>
    <n v="397.15"/>
    <n v="135.24"/>
    <m/>
    <n v="439.25675548816912"/>
    <n v="122.96039139779091"/>
    <n v="0"/>
    <n v="2420.122249999999"/>
    <n v="0"/>
    <n v="2555.9016183154486"/>
    <x v="3"/>
  </r>
  <r>
    <s v="Regular"/>
    <x v="1"/>
    <x v="1"/>
    <x v="2"/>
    <x v="5"/>
    <x v="0"/>
    <x v="0"/>
    <x v="1"/>
    <x v="9"/>
    <n v="0"/>
    <n v="0"/>
    <n v="37.840000000000003"/>
    <n v="37.840000000000003"/>
    <n v="37.840000000000003"/>
    <n v="37.840000000000003"/>
    <n v="242"/>
    <s v="CATIVO"/>
    <n v="0"/>
    <n v="0"/>
    <n v="36"/>
    <n v="86"/>
    <n v="0"/>
    <n v="397.15"/>
    <n v="135.24"/>
    <m/>
    <n v="439.25675548816912"/>
    <n v="122.96039139779091"/>
    <n v="0"/>
    <n v="2238.2359999999994"/>
    <n v="0"/>
    <n v="2363.8107597960793"/>
    <x v="3"/>
  </r>
  <r>
    <s v="Refaturamento - Regular"/>
    <x v="1"/>
    <x v="1"/>
    <x v="2"/>
    <x v="5"/>
    <x v="0"/>
    <x v="0"/>
    <x v="1"/>
    <x v="9"/>
    <n v="0"/>
    <n v="0"/>
    <n v="-1.6E-2"/>
    <n v="-1.6E-2"/>
    <n v="-1.6E-2"/>
    <n v="-1.6E-2"/>
    <n v="0"/>
    <s v="CATIVO"/>
    <n v="0"/>
    <n v="0"/>
    <n v="36"/>
    <n v="86"/>
    <n v="0"/>
    <n v="397.15"/>
    <n v="135.24"/>
    <m/>
    <n v="439.25675548816912"/>
    <n v="122.96039139779091"/>
    <n v="0"/>
    <n v="-0.94639999999999969"/>
    <n v="0"/>
    <n v="-0.9994971500194838"/>
    <x v="3"/>
  </r>
  <r>
    <s v="Regular"/>
    <x v="1"/>
    <x v="1"/>
    <x v="2"/>
    <x v="5"/>
    <x v="0"/>
    <x v="0"/>
    <x v="1"/>
    <x v="10"/>
    <n v="0"/>
    <n v="0"/>
    <n v="37.328000000000003"/>
    <n v="37.328000000000003"/>
    <n v="37.328000000000003"/>
    <n v="37.328000000000003"/>
    <n v="262"/>
    <s v="CATIVO"/>
    <n v="0"/>
    <n v="0"/>
    <n v="36"/>
    <n v="86"/>
    <n v="0"/>
    <n v="397.15"/>
    <n v="135.24"/>
    <m/>
    <n v="439.25675548816912"/>
    <n v="122.96039139779091"/>
    <n v="0"/>
    <n v="2207.9511999999995"/>
    <n v="0"/>
    <n v="2331.826850995456"/>
    <x v="3"/>
  </r>
  <r>
    <s v="Refaturamento - Regular"/>
    <x v="1"/>
    <x v="1"/>
    <x v="2"/>
    <x v="5"/>
    <x v="0"/>
    <x v="0"/>
    <x v="1"/>
    <x v="10"/>
    <n v="0"/>
    <n v="0"/>
    <n v="0.13200000000000001"/>
    <n v="0.13200000000000001"/>
    <n v="0.13200000000000001"/>
    <n v="0.13200000000000001"/>
    <n v="0"/>
    <s v="CATIVO"/>
    <n v="0"/>
    <n v="0"/>
    <n v="36"/>
    <n v="86"/>
    <n v="0"/>
    <n v="397.15"/>
    <n v="135.24"/>
    <m/>
    <n v="439.25675548816912"/>
    <n v="122.96039139779091"/>
    <n v="0"/>
    <n v="7.8077999999999976"/>
    <n v="0"/>
    <n v="8.2458514876607421"/>
    <x v="3"/>
  </r>
  <r>
    <s v="PROJETADO"/>
    <x v="1"/>
    <x v="1"/>
    <x v="2"/>
    <x v="5"/>
    <x v="0"/>
    <x v="0"/>
    <x v="1"/>
    <x v="11"/>
    <n v="0"/>
    <n v="0"/>
    <n v="37.328000000000003"/>
    <n v="37.328000000000003"/>
    <n v="37.328000000000003"/>
    <n v="37.328000000000003"/>
    <n v="262"/>
    <s v="CATIVO"/>
    <n v="0"/>
    <n v="0"/>
    <n v="36"/>
    <n v="86"/>
    <n v="0"/>
    <n v="397.15"/>
    <n v="135.24"/>
    <m/>
    <n v="439.25675548816912"/>
    <n v="122.96039139779091"/>
    <n v="0"/>
    <n v="2207.9511999999995"/>
    <n v="0"/>
    <n v="2331.826850995456"/>
    <x v="3"/>
  </r>
  <r>
    <s v="PROJETADO"/>
    <x v="1"/>
    <x v="1"/>
    <x v="2"/>
    <x v="5"/>
    <x v="0"/>
    <x v="0"/>
    <x v="1"/>
    <x v="11"/>
    <n v="0"/>
    <n v="0"/>
    <n v="0.13200000000000001"/>
    <n v="0.13200000000000001"/>
    <n v="0.13200000000000001"/>
    <n v="0.13200000000000001"/>
    <n v="0"/>
    <s v="CATIVO"/>
    <n v="0"/>
    <n v="0"/>
    <n v="36"/>
    <n v="86"/>
    <n v="0"/>
    <n v="397.15"/>
    <n v="135.24"/>
    <m/>
    <n v="439.25675548816912"/>
    <n v="122.96039139779091"/>
    <n v="0"/>
    <n v="7.8077999999999976"/>
    <n v="0"/>
    <n v="8.2458514876607421"/>
    <x v="3"/>
  </r>
  <r>
    <s v="Regular"/>
    <x v="1"/>
    <x v="1"/>
    <x v="2"/>
    <x v="6"/>
    <x v="0"/>
    <x v="0"/>
    <x v="1"/>
    <x v="0"/>
    <n v="0"/>
    <n v="0"/>
    <n v="14.227"/>
    <n v="14.227"/>
    <n v="14.227"/>
    <n v="14.227"/>
    <n v="186"/>
    <s v="CATIVO"/>
    <n v="0"/>
    <n v="0"/>
    <n v="52"/>
    <n v="87"/>
    <n v="0"/>
    <n v="441.28"/>
    <n v="150.26"/>
    <m/>
    <n v="488.06306165352123"/>
    <n v="136.62265710865657"/>
    <n v="0"/>
    <n v="0"/>
    <n v="0"/>
    <n v="-4.0435566006635782E-13"/>
    <x v="3"/>
  </r>
  <r>
    <s v="Regular"/>
    <x v="1"/>
    <x v="1"/>
    <x v="2"/>
    <x v="6"/>
    <x v="0"/>
    <x v="0"/>
    <x v="1"/>
    <x v="1"/>
    <n v="0"/>
    <n v="0"/>
    <n v="13.89"/>
    <n v="13.89"/>
    <n v="13.89"/>
    <n v="13.89"/>
    <n v="173"/>
    <s v="CATIVO"/>
    <n v="0"/>
    <n v="0"/>
    <n v="52"/>
    <n v="87"/>
    <n v="0"/>
    <n v="441.28"/>
    <n v="150.26"/>
    <m/>
    <n v="488.06306165352123"/>
    <n v="136.62265710865657"/>
    <n v="0"/>
    <n v="0"/>
    <n v="0"/>
    <n v="-3.9477754398831168E-13"/>
    <x v="3"/>
  </r>
  <r>
    <s v="Refaturamento - Regular"/>
    <x v="1"/>
    <x v="1"/>
    <x v="2"/>
    <x v="6"/>
    <x v="0"/>
    <x v="0"/>
    <x v="1"/>
    <x v="1"/>
    <n v="0"/>
    <n v="0"/>
    <n v="-3.6999999999999998E-2"/>
    <n v="-3.6999999999999998E-2"/>
    <n v="-3.6999999999999998E-2"/>
    <n v="-3.6999999999999998E-2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1.0516032489249482E-15"/>
    <x v="3"/>
  </r>
  <r>
    <s v="Regular"/>
    <x v="1"/>
    <x v="1"/>
    <x v="2"/>
    <x v="6"/>
    <x v="0"/>
    <x v="0"/>
    <x v="1"/>
    <x v="2"/>
    <n v="0"/>
    <n v="0"/>
    <n v="15.231999999999999"/>
    <n v="15.231999999999999"/>
    <n v="15.231999999999999"/>
    <n v="15.231999999999999"/>
    <n v="183"/>
    <s v="CATIVO"/>
    <n v="0"/>
    <n v="0"/>
    <n v="52"/>
    <n v="87"/>
    <n v="0"/>
    <n v="441.28"/>
    <n v="150.26"/>
    <m/>
    <n v="488.06306165352123"/>
    <n v="136.62265710865657"/>
    <n v="0"/>
    <n v="0"/>
    <n v="0"/>
    <n v="-4.3291947804391382E-13"/>
    <x v="3"/>
  </r>
  <r>
    <s v="Refaturamento - Regular"/>
    <x v="1"/>
    <x v="1"/>
    <x v="2"/>
    <x v="6"/>
    <x v="0"/>
    <x v="0"/>
    <x v="1"/>
    <x v="2"/>
    <n v="0"/>
    <n v="0"/>
    <n v="-1.2809999999999999"/>
    <n v="-1.2809999999999999"/>
    <n v="-1.2809999999999999"/>
    <n v="-1.2809999999999999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3.6408209780347531E-14"/>
    <x v="3"/>
  </r>
  <r>
    <s v="Regular"/>
    <x v="1"/>
    <x v="1"/>
    <x v="2"/>
    <x v="6"/>
    <x v="0"/>
    <x v="0"/>
    <x v="1"/>
    <x v="3"/>
    <n v="0"/>
    <n v="0"/>
    <n v="17.779"/>
    <n v="17.779"/>
    <n v="17.779"/>
    <n v="17.779"/>
    <n v="207"/>
    <s v="CATIVO"/>
    <n v="0"/>
    <n v="0"/>
    <n v="52"/>
    <n v="87"/>
    <n v="0"/>
    <n v="441.28"/>
    <n v="150.26"/>
    <m/>
    <n v="488.06306165352123"/>
    <n v="136.62265710865657"/>
    <n v="0"/>
    <n v="0"/>
    <n v="0"/>
    <n v="-5.0530957196315285E-13"/>
    <x v="3"/>
  </r>
  <r>
    <s v="Refaturamento - Regular"/>
    <x v="1"/>
    <x v="1"/>
    <x v="2"/>
    <x v="6"/>
    <x v="0"/>
    <x v="0"/>
    <x v="1"/>
    <x v="3"/>
    <n v="0"/>
    <n v="0"/>
    <n v="-0.245"/>
    <n v="-0.245"/>
    <n v="-0.245"/>
    <n v="-0.245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6.9633188104489817E-15"/>
    <x v="3"/>
  </r>
  <r>
    <s v="Regular"/>
    <x v="1"/>
    <x v="1"/>
    <x v="2"/>
    <x v="6"/>
    <x v="0"/>
    <x v="0"/>
    <x v="1"/>
    <x v="4"/>
    <n v="0"/>
    <n v="0"/>
    <n v="30.530999999999999"/>
    <n v="30.530999999999999"/>
    <n v="30.530999999999999"/>
    <n v="30.530999999999999"/>
    <n v="273"/>
    <s v="CATIVO"/>
    <n v="0"/>
    <n v="0"/>
    <n v="52"/>
    <n v="87"/>
    <n v="0"/>
    <n v="441.28"/>
    <n v="150.26"/>
    <m/>
    <n v="488.06306165352123"/>
    <n v="136.62265710865657"/>
    <n v="0"/>
    <n v="0"/>
    <n v="0"/>
    <n v="-8.6774321061966472E-13"/>
    <x v="3"/>
  </r>
  <r>
    <s v="Regular"/>
    <x v="1"/>
    <x v="1"/>
    <x v="2"/>
    <x v="6"/>
    <x v="0"/>
    <x v="0"/>
    <x v="1"/>
    <x v="5"/>
    <n v="0"/>
    <n v="0"/>
    <n v="28.343"/>
    <n v="28.343"/>
    <n v="28.343"/>
    <n v="28.343"/>
    <n v="255"/>
    <s v="CATIVO"/>
    <n v="0"/>
    <n v="0"/>
    <n v="52"/>
    <n v="87"/>
    <n v="0"/>
    <n v="441.28"/>
    <n v="150.26"/>
    <m/>
    <n v="488.06306165352123"/>
    <n v="136.62265710865657"/>
    <n v="0"/>
    <n v="0"/>
    <n v="0"/>
    <n v="-8.0555651038594078E-13"/>
    <x v="3"/>
  </r>
  <r>
    <s v="Regular"/>
    <x v="1"/>
    <x v="1"/>
    <x v="2"/>
    <x v="6"/>
    <x v="0"/>
    <x v="0"/>
    <x v="1"/>
    <x v="6"/>
    <n v="0"/>
    <n v="0"/>
    <n v="24.643999999999998"/>
    <n v="24.643999999999998"/>
    <n v="24.643999999999998"/>
    <n v="24.643999999999998"/>
    <n v="239"/>
    <s v="CATIVO"/>
    <n v="0"/>
    <n v="0"/>
    <n v="52"/>
    <n v="87"/>
    <n v="0"/>
    <n v="441.28"/>
    <n v="150.26"/>
    <m/>
    <n v="488.06306165352123"/>
    <n v="136.62265710865657"/>
    <n v="0"/>
    <n v="0"/>
    <n v="0"/>
    <n v="-7.0042460720287631E-13"/>
    <x v="3"/>
  </r>
  <r>
    <s v="Regular"/>
    <x v="1"/>
    <x v="1"/>
    <x v="2"/>
    <x v="6"/>
    <x v="0"/>
    <x v="0"/>
    <x v="1"/>
    <x v="7"/>
    <n v="0"/>
    <n v="0"/>
    <n v="19.66"/>
    <n v="19.66"/>
    <n v="19.66"/>
    <n v="19.66"/>
    <n v="225"/>
    <s v="CATIVO"/>
    <n v="0"/>
    <n v="0"/>
    <n v="52"/>
    <n v="87"/>
    <n v="0"/>
    <n v="441.28"/>
    <n v="150.26"/>
    <m/>
    <n v="488.06306165352123"/>
    <n v="136.62265710865657"/>
    <n v="0"/>
    <n v="0"/>
    <n v="0"/>
    <n v="-5.5877080740174279E-13"/>
    <x v="3"/>
  </r>
  <r>
    <s v="Regular"/>
    <x v="1"/>
    <x v="1"/>
    <x v="2"/>
    <x v="6"/>
    <x v="0"/>
    <x v="0"/>
    <x v="1"/>
    <x v="8"/>
    <n v="0"/>
    <n v="0"/>
    <n v="13.004"/>
    <n v="13.004"/>
    <n v="13.004"/>
    <n v="13.004"/>
    <n v="186"/>
    <s v="CATIVO"/>
    <n v="0"/>
    <n v="0"/>
    <n v="52"/>
    <n v="87"/>
    <n v="0"/>
    <n v="441.28"/>
    <n v="150.26"/>
    <m/>
    <n v="488.06306165352123"/>
    <n v="136.62265710865657"/>
    <n v="0"/>
    <n v="0"/>
    <n v="0"/>
    <n v="-3.695959094329737E-13"/>
    <x v="3"/>
  </r>
  <r>
    <s v="Regular"/>
    <x v="1"/>
    <x v="1"/>
    <x v="2"/>
    <x v="6"/>
    <x v="0"/>
    <x v="0"/>
    <x v="1"/>
    <x v="9"/>
    <n v="0"/>
    <n v="0"/>
    <n v="18.523"/>
    <n v="18.523"/>
    <n v="18.523"/>
    <n v="18.523"/>
    <n v="197"/>
    <s v="CATIVO"/>
    <n v="0"/>
    <n v="0"/>
    <n v="52"/>
    <n v="87"/>
    <n v="0"/>
    <n v="441.28"/>
    <n v="150.26"/>
    <m/>
    <n v="488.06306165352123"/>
    <n v="136.62265710865657"/>
    <n v="0"/>
    <n v="0"/>
    <n v="0"/>
    <n v="-5.2645532377937342E-13"/>
    <x v="3"/>
  </r>
  <r>
    <s v="Refaturamento - Regular"/>
    <x v="1"/>
    <x v="1"/>
    <x v="2"/>
    <x v="6"/>
    <x v="0"/>
    <x v="0"/>
    <x v="1"/>
    <x v="9"/>
    <n v="0"/>
    <n v="0"/>
    <n v="0.309"/>
    <n v="0.309"/>
    <n v="0.309"/>
    <n v="0.309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-8.7823082139948382E-15"/>
    <x v="3"/>
  </r>
  <r>
    <s v="Regular"/>
    <x v="1"/>
    <x v="1"/>
    <x v="2"/>
    <x v="6"/>
    <x v="0"/>
    <x v="0"/>
    <x v="1"/>
    <x v="10"/>
    <n v="0"/>
    <n v="0"/>
    <n v="18.992000000000001"/>
    <n v="18.992000000000001"/>
    <n v="18.992000000000001"/>
    <n v="18.992000000000001"/>
    <n v="189"/>
    <s v="CATIVO"/>
    <n v="0"/>
    <n v="0"/>
    <n v="52"/>
    <n v="87"/>
    <n v="0"/>
    <n v="441.28"/>
    <n v="150.26"/>
    <m/>
    <n v="488.06306165352123"/>
    <n v="136.62265710865657"/>
    <n v="0"/>
    <n v="0"/>
    <n v="0"/>
    <n v="-5.3978510550223293E-13"/>
    <x v="3"/>
  </r>
  <r>
    <s v="Refaturamento - Regular"/>
    <x v="1"/>
    <x v="1"/>
    <x v="2"/>
    <x v="6"/>
    <x v="0"/>
    <x v="0"/>
    <x v="1"/>
    <x v="10"/>
    <n v="0"/>
    <n v="0"/>
    <n v="0.313"/>
    <n v="0.313"/>
    <n v="0.313"/>
    <n v="0.313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-8.8959950517164543E-15"/>
    <x v="3"/>
  </r>
  <r>
    <s v="PROJETADO"/>
    <x v="1"/>
    <x v="1"/>
    <x v="2"/>
    <x v="6"/>
    <x v="0"/>
    <x v="0"/>
    <x v="1"/>
    <x v="11"/>
    <n v="0"/>
    <n v="0"/>
    <n v="18.992000000000001"/>
    <n v="18.992000000000001"/>
    <n v="18.992000000000001"/>
    <n v="18.992000000000001"/>
    <n v="189"/>
    <s v="CATIVO"/>
    <n v="0"/>
    <n v="0"/>
    <n v="52"/>
    <n v="87"/>
    <n v="0"/>
    <n v="441.28"/>
    <n v="150.26"/>
    <m/>
    <n v="488.06306165352123"/>
    <n v="136.62265710865657"/>
    <n v="0"/>
    <n v="0"/>
    <n v="0"/>
    <n v="-5.3978510550223293E-13"/>
    <x v="3"/>
  </r>
  <r>
    <s v="PROJETADO"/>
    <x v="1"/>
    <x v="1"/>
    <x v="2"/>
    <x v="6"/>
    <x v="0"/>
    <x v="0"/>
    <x v="1"/>
    <x v="11"/>
    <n v="0"/>
    <n v="0"/>
    <n v="0.313"/>
    <n v="0.313"/>
    <n v="0.313"/>
    <n v="0.313"/>
    <n v="0"/>
    <s v="CATIVO"/>
    <n v="0"/>
    <n v="0"/>
    <n v="52"/>
    <n v="87"/>
    <n v="0"/>
    <n v="441.28"/>
    <n v="150.26"/>
    <m/>
    <n v="488.06306165352123"/>
    <n v="136.62265710865657"/>
    <n v="0"/>
    <n v="0"/>
    <n v="0"/>
    <n v="-8.8959950517164543E-15"/>
    <x v="3"/>
  </r>
  <r>
    <s v="Regular"/>
    <x v="2"/>
    <x v="1"/>
    <x v="0"/>
    <x v="7"/>
    <x v="1"/>
    <x v="0"/>
    <x v="1"/>
    <x v="0"/>
    <n v="0"/>
    <n v="0"/>
    <n v="0.94"/>
    <n v="0.94"/>
    <n v="0.94"/>
    <n v="0.94"/>
    <n v="0"/>
    <s v="CATIVO"/>
    <n v="0"/>
    <n v="0"/>
    <n v="55"/>
    <n v="20"/>
    <n v="0"/>
    <n v="441.31"/>
    <n v="132.22999999999999"/>
    <m/>
    <n v="554.80001091929842"/>
    <n v="128.42529768213717"/>
    <n v="0"/>
    <n v="73.50800000000001"/>
    <n v="0"/>
    <n v="40.993518516086112"/>
    <x v="0"/>
  </r>
  <r>
    <s v="Regular"/>
    <x v="2"/>
    <x v="1"/>
    <x v="0"/>
    <x v="7"/>
    <x v="1"/>
    <x v="0"/>
    <x v="1"/>
    <x v="1"/>
    <n v="0"/>
    <n v="0"/>
    <n v="1.0900000000000001"/>
    <n v="1.0900000000000001"/>
    <n v="1.0900000000000001"/>
    <n v="1.0900000000000001"/>
    <n v="0"/>
    <s v="CATIVO"/>
    <n v="0"/>
    <n v="0"/>
    <n v="55"/>
    <n v="20"/>
    <n v="0"/>
    <n v="441.31"/>
    <n v="132.22999999999999"/>
    <m/>
    <n v="554.80001091929842"/>
    <n v="128.42529768213717"/>
    <n v="0"/>
    <n v="85.238000000000028"/>
    <n v="0"/>
    <n v="47.535037428227525"/>
    <x v="0"/>
  </r>
  <r>
    <s v="Regular"/>
    <x v="2"/>
    <x v="1"/>
    <x v="0"/>
    <x v="7"/>
    <x v="1"/>
    <x v="0"/>
    <x v="1"/>
    <x v="2"/>
    <n v="0"/>
    <n v="0"/>
    <n v="2.355"/>
    <n v="2.355"/>
    <n v="2.355"/>
    <n v="2.355"/>
    <n v="0"/>
    <s v="CATIVO"/>
    <n v="0"/>
    <n v="0"/>
    <n v="55"/>
    <n v="20"/>
    <n v="0"/>
    <n v="441.31"/>
    <n v="132.22999999999999"/>
    <m/>
    <n v="554.80001091929842"/>
    <n v="128.42529768213717"/>
    <n v="0"/>
    <n v="184.16100000000003"/>
    <n v="0"/>
    <n v="102.70184692062"/>
    <x v="0"/>
  </r>
  <r>
    <s v="Regular"/>
    <x v="2"/>
    <x v="1"/>
    <x v="0"/>
    <x v="7"/>
    <x v="1"/>
    <x v="0"/>
    <x v="1"/>
    <x v="3"/>
    <n v="0"/>
    <n v="0"/>
    <n v="3.3730000000000002"/>
    <n v="3.3730000000000002"/>
    <n v="3.3730000000000002"/>
    <n v="3.3730000000000002"/>
    <n v="0"/>
    <s v="CATIVO"/>
    <n v="0"/>
    <n v="0"/>
    <n v="55"/>
    <n v="20"/>
    <n v="0"/>
    <n v="441.31"/>
    <n v="132.22999999999999"/>
    <m/>
    <n v="554.80001091929842"/>
    <n v="128.42529768213717"/>
    <n v="0"/>
    <n v="263.76860000000005"/>
    <n v="0"/>
    <n v="147.09695527101965"/>
    <x v="0"/>
  </r>
  <r>
    <s v="Regular"/>
    <x v="2"/>
    <x v="1"/>
    <x v="0"/>
    <x v="7"/>
    <x v="1"/>
    <x v="0"/>
    <x v="1"/>
    <x v="4"/>
    <n v="0"/>
    <n v="0"/>
    <n v="2.536"/>
    <n v="2.536"/>
    <n v="2.536"/>
    <n v="2.536"/>
    <n v="0"/>
    <s v="CATIVO"/>
    <n v="0"/>
    <n v="0"/>
    <n v="55"/>
    <n v="20"/>
    <n v="0"/>
    <n v="441.31"/>
    <n v="132.22999999999999"/>
    <m/>
    <n v="554.80001091929842"/>
    <n v="128.42529768213717"/>
    <n v="0"/>
    <n v="198.31520000000003"/>
    <n v="0"/>
    <n v="110.59527974127063"/>
    <x v="0"/>
  </r>
  <r>
    <s v="Regular"/>
    <x v="2"/>
    <x v="1"/>
    <x v="0"/>
    <x v="7"/>
    <x v="1"/>
    <x v="0"/>
    <x v="1"/>
    <x v="5"/>
    <n v="0"/>
    <n v="0"/>
    <n v="3.2069999999999999"/>
    <n v="3.2069999999999999"/>
    <n v="3.2069999999999999"/>
    <n v="3.2069999999999999"/>
    <n v="0"/>
    <s v="CATIVO"/>
    <n v="0"/>
    <n v="0"/>
    <n v="55"/>
    <n v="20"/>
    <n v="0"/>
    <n v="441.31"/>
    <n v="132.22999999999999"/>
    <m/>
    <n v="554.80001091929842"/>
    <n v="128.42529768213717"/>
    <n v="0"/>
    <n v="250.78740000000005"/>
    <n v="0"/>
    <n v="139.85767434158316"/>
    <x v="0"/>
  </r>
  <r>
    <s v="Regular"/>
    <x v="2"/>
    <x v="1"/>
    <x v="0"/>
    <x v="7"/>
    <x v="1"/>
    <x v="0"/>
    <x v="1"/>
    <x v="6"/>
    <n v="0"/>
    <n v="0"/>
    <n v="8.2249999999999996"/>
    <n v="8.2249999999999996"/>
    <n v="8.2249999999999996"/>
    <n v="8.2249999999999996"/>
    <n v="0"/>
    <s v="CATIVO"/>
    <n v="0"/>
    <n v="0"/>
    <n v="55"/>
    <n v="20"/>
    <n v="0"/>
    <n v="441.31"/>
    <n v="132.22999999999999"/>
    <m/>
    <n v="554.80001091929842"/>
    <n v="128.42529768213717"/>
    <n v="0"/>
    <n v="643.19500000000016"/>
    <n v="0"/>
    <n v="358.69328701575353"/>
    <x v="0"/>
  </r>
  <r>
    <s v="Regular"/>
    <x v="2"/>
    <x v="1"/>
    <x v="0"/>
    <x v="7"/>
    <x v="1"/>
    <x v="0"/>
    <x v="1"/>
    <x v="7"/>
    <n v="0"/>
    <n v="0"/>
    <n v="2.2810000000000001"/>
    <n v="2.2810000000000001"/>
    <n v="2.2810000000000001"/>
    <n v="2.2810000000000001"/>
    <n v="0"/>
    <s v="CATIVO"/>
    <n v="0"/>
    <n v="0"/>
    <n v="55"/>
    <n v="20"/>
    <n v="0"/>
    <n v="441.31"/>
    <n v="132.22999999999999"/>
    <m/>
    <n v="554.80001091929842"/>
    <n v="128.42529768213717"/>
    <n v="0"/>
    <n v="178.37420000000006"/>
    <n v="0"/>
    <n v="99.474697590630257"/>
    <x v="0"/>
  </r>
  <r>
    <s v="Refaturamento - Regular"/>
    <x v="2"/>
    <x v="1"/>
    <x v="0"/>
    <x v="7"/>
    <x v="1"/>
    <x v="0"/>
    <x v="1"/>
    <x v="7"/>
    <n v="0"/>
    <n v="0"/>
    <n v="-5.9180000000000001"/>
    <n v="-5.9180000000000001"/>
    <n v="-5.9180000000000001"/>
    <n v="-5.9180000000000001"/>
    <n v="0"/>
    <s v="CATIVO"/>
    <n v="0"/>
    <n v="0"/>
    <n v="55"/>
    <n v="20"/>
    <n v="0"/>
    <n v="441.31"/>
    <n v="132.22999999999999"/>
    <m/>
    <n v="554.80001091929842"/>
    <n v="128.42529768213717"/>
    <n v="0"/>
    <n v="-462.78760000000011"/>
    <n v="0"/>
    <n v="-258.08472614701878"/>
    <x v="0"/>
  </r>
  <r>
    <s v="Regular"/>
    <x v="2"/>
    <x v="1"/>
    <x v="0"/>
    <x v="7"/>
    <x v="1"/>
    <x v="0"/>
    <x v="1"/>
    <x v="8"/>
    <n v="0"/>
    <n v="0"/>
    <n v="1.6259999999999999"/>
    <n v="1.6259999999999999"/>
    <n v="1.6259999999999999"/>
    <n v="1.6259999999999999"/>
    <n v="0"/>
    <s v="CATIVO"/>
    <n v="0"/>
    <n v="0"/>
    <n v="55"/>
    <n v="20"/>
    <n v="0"/>
    <n v="441.31"/>
    <n v="132.22999999999999"/>
    <m/>
    <n v="554.80001091929842"/>
    <n v="128.42529768213717"/>
    <n v="0"/>
    <n v="127.15320000000001"/>
    <n v="0"/>
    <n v="70.910065007612786"/>
    <x v="0"/>
  </r>
  <r>
    <s v="Regular"/>
    <x v="2"/>
    <x v="1"/>
    <x v="0"/>
    <x v="7"/>
    <x v="1"/>
    <x v="0"/>
    <x v="1"/>
    <x v="9"/>
    <n v="0"/>
    <n v="0"/>
    <n v="1.764"/>
    <n v="1.764"/>
    <n v="1.764"/>
    <n v="1.764"/>
    <n v="0"/>
    <s v="CATIVO"/>
    <n v="0"/>
    <n v="0"/>
    <n v="55"/>
    <n v="20"/>
    <n v="0"/>
    <n v="441.31"/>
    <n v="132.22999999999999"/>
    <m/>
    <n v="554.80001091929842"/>
    <n v="128.42529768213717"/>
    <n v="0"/>
    <n v="137.94480000000004"/>
    <n v="0"/>
    <n v="76.928262406782878"/>
    <x v="0"/>
  </r>
  <r>
    <s v="Regular"/>
    <x v="2"/>
    <x v="1"/>
    <x v="0"/>
    <x v="7"/>
    <x v="1"/>
    <x v="0"/>
    <x v="1"/>
    <x v="10"/>
    <n v="0"/>
    <n v="0"/>
    <n v="1.83"/>
    <n v="1.83"/>
    <n v="1.83"/>
    <n v="1.83"/>
    <n v="0"/>
    <s v="CATIVO"/>
    <n v="0"/>
    <n v="0"/>
    <n v="55"/>
    <n v="20"/>
    <n v="0"/>
    <n v="441.31"/>
    <n v="132.22999999999999"/>
    <m/>
    <n v="554.80001091929842"/>
    <n v="128.42529768213717"/>
    <n v="0"/>
    <n v="143.10600000000002"/>
    <n v="0"/>
    <n v="79.806530728125097"/>
    <x v="0"/>
  </r>
  <r>
    <s v="PROJETADO"/>
    <x v="2"/>
    <x v="1"/>
    <x v="0"/>
    <x v="7"/>
    <x v="1"/>
    <x v="0"/>
    <x v="1"/>
    <x v="11"/>
    <n v="0"/>
    <n v="0"/>
    <n v="1.83"/>
    <n v="1.83"/>
    <n v="1.83"/>
    <n v="1.83"/>
    <n v="0"/>
    <s v="CATIVO"/>
    <n v="0"/>
    <n v="0"/>
    <n v="55"/>
    <n v="20"/>
    <n v="0"/>
    <n v="441.31"/>
    <n v="132.22999999999999"/>
    <m/>
    <n v="554.80001091929842"/>
    <n v="128.42529768213717"/>
    <n v="0"/>
    <n v="143.10600000000002"/>
    <n v="0"/>
    <n v="79.806530728125097"/>
    <x v="0"/>
  </r>
  <r>
    <s v="Regular"/>
    <x v="2"/>
    <x v="1"/>
    <x v="0"/>
    <x v="7"/>
    <x v="2"/>
    <x v="0"/>
    <x v="1"/>
    <x v="0"/>
    <n v="0"/>
    <n v="0"/>
    <n v="0.66600000000000004"/>
    <n v="0.26640000000000003"/>
    <n v="0.66600000000000004"/>
    <n v="0.26640000000000003"/>
    <n v="0"/>
    <s v="CATIVO"/>
    <n v="0"/>
    <n v="0"/>
    <n v="55"/>
    <n v="20"/>
    <n v="0"/>
    <n v="441.31"/>
    <n v="132.22999999999999"/>
    <m/>
    <n v="554.80001091929842"/>
    <n v="128.42529768213717"/>
    <n v="0"/>
    <n v="281.26778400000001"/>
    <n v="0"/>
    <n v="302.06117728704146"/>
    <x v="4"/>
  </r>
  <r>
    <s v="Regular"/>
    <x v="2"/>
    <x v="1"/>
    <x v="0"/>
    <x v="7"/>
    <x v="2"/>
    <x v="0"/>
    <x v="1"/>
    <x v="1"/>
    <n v="0"/>
    <n v="0"/>
    <n v="0.73"/>
    <n v="0.29199999999999998"/>
    <n v="0.73"/>
    <n v="0.29199999999999998"/>
    <n v="0"/>
    <s v="CATIVO"/>
    <n v="0"/>
    <n v="0"/>
    <n v="55"/>
    <n v="20"/>
    <n v="0"/>
    <n v="441.31"/>
    <n v="132.22999999999999"/>
    <m/>
    <n v="554.80001091929842"/>
    <n v="128.42529768213717"/>
    <n v="0"/>
    <n v="308.29651999999999"/>
    <n v="0"/>
    <n v="331.08807720651697"/>
    <x v="4"/>
  </r>
  <r>
    <s v="Regular"/>
    <x v="2"/>
    <x v="1"/>
    <x v="0"/>
    <x v="7"/>
    <x v="2"/>
    <x v="0"/>
    <x v="1"/>
    <x v="2"/>
    <n v="0"/>
    <n v="0"/>
    <n v="1.7170000000000001"/>
    <n v="0.68679999999999997"/>
    <n v="1.7170000000000001"/>
    <n v="0.68679999999999997"/>
    <n v="0"/>
    <s v="CATIVO"/>
    <n v="0"/>
    <n v="0"/>
    <n v="55"/>
    <n v="20"/>
    <n v="0"/>
    <n v="441.31"/>
    <n v="132.22999999999999"/>
    <m/>
    <n v="554.80001091929842"/>
    <n v="128.42529768213717"/>
    <n v="0"/>
    <n v="725.13030800000013"/>
    <n v="0"/>
    <n v="778.73729940217765"/>
    <x v="4"/>
  </r>
  <r>
    <s v="Regular"/>
    <x v="2"/>
    <x v="1"/>
    <x v="0"/>
    <x v="7"/>
    <x v="2"/>
    <x v="0"/>
    <x v="1"/>
    <x v="3"/>
    <n v="0"/>
    <n v="0"/>
    <n v="2.23"/>
    <n v="0.89200000000000002"/>
    <n v="2.23"/>
    <n v="0.89200000000000002"/>
    <n v="0"/>
    <s v="CATIVO"/>
    <n v="0"/>
    <n v="0"/>
    <n v="55"/>
    <n v="20"/>
    <n v="0"/>
    <n v="441.31"/>
    <n v="132.22999999999999"/>
    <m/>
    <n v="554.80001091929842"/>
    <n v="128.42529768213717"/>
    <n v="0"/>
    <n v="941.78251999999998"/>
    <n v="0"/>
    <n v="1011.4060440692231"/>
    <x v="4"/>
  </r>
  <r>
    <s v="Regular"/>
    <x v="2"/>
    <x v="1"/>
    <x v="0"/>
    <x v="7"/>
    <x v="2"/>
    <x v="0"/>
    <x v="1"/>
    <x v="4"/>
    <n v="0"/>
    <n v="0"/>
    <n v="0.436"/>
    <n v="0.1744"/>
    <n v="0.436"/>
    <n v="0.1744"/>
    <n v="0"/>
    <s v="CATIVO"/>
    <n v="0"/>
    <n v="0"/>
    <n v="55"/>
    <n v="20"/>
    <n v="0"/>
    <n v="441.31"/>
    <n v="132.22999999999999"/>
    <m/>
    <n v="554.80001091929842"/>
    <n v="128.42529768213717"/>
    <n v="0"/>
    <n v="184.133264"/>
    <n v="0"/>
    <n v="197.74575570142656"/>
    <x v="4"/>
  </r>
  <r>
    <s v="Regular"/>
    <x v="2"/>
    <x v="1"/>
    <x v="0"/>
    <x v="7"/>
    <x v="2"/>
    <x v="0"/>
    <x v="1"/>
    <x v="5"/>
    <n v="0"/>
    <n v="0"/>
    <n v="1.02"/>
    <n v="0.40799999999999997"/>
    <n v="1.02"/>
    <n v="0.40799999999999997"/>
    <n v="0"/>
    <s v="CATIVO"/>
    <n v="0"/>
    <n v="0"/>
    <n v="55"/>
    <n v="20"/>
    <n v="0"/>
    <n v="441.31"/>
    <n v="132.22999999999999"/>
    <m/>
    <n v="554.80001091929842"/>
    <n v="128.42529768213717"/>
    <n v="0"/>
    <n v="430.77048000000002"/>
    <n v="0"/>
    <n v="462.61621746664019"/>
    <x v="4"/>
  </r>
  <r>
    <s v="Regular"/>
    <x v="2"/>
    <x v="1"/>
    <x v="0"/>
    <x v="7"/>
    <x v="2"/>
    <x v="0"/>
    <x v="1"/>
    <x v="6"/>
    <n v="0"/>
    <n v="0"/>
    <n v="0.876"/>
    <n v="0.35039999999999999"/>
    <n v="0.876"/>
    <n v="0.35039999999999999"/>
    <n v="0"/>
    <s v="CATIVO"/>
    <n v="0"/>
    <n v="0"/>
    <n v="55"/>
    <n v="20"/>
    <n v="0"/>
    <n v="441.31"/>
    <n v="132.22999999999999"/>
    <m/>
    <n v="554.80001091929842"/>
    <n v="128.42529768213717"/>
    <n v="0"/>
    <n v="369.95582400000001"/>
    <n v="0"/>
    <n v="397.30569264782042"/>
    <x v="4"/>
  </r>
  <r>
    <s v="Regular"/>
    <x v="2"/>
    <x v="1"/>
    <x v="0"/>
    <x v="7"/>
    <x v="2"/>
    <x v="0"/>
    <x v="1"/>
    <x v="7"/>
    <n v="0"/>
    <n v="0"/>
    <n v="0.67900000000000005"/>
    <n v="0.27160000000000001"/>
    <n v="0.67900000000000005"/>
    <n v="0.27160000000000001"/>
    <n v="0"/>
    <s v="CATIVO"/>
    <n v="0"/>
    <n v="0"/>
    <n v="55"/>
    <n v="20"/>
    <n v="0"/>
    <n v="441.31"/>
    <n v="132.22999999999999"/>
    <m/>
    <n v="554.80001091929842"/>
    <n v="128.42529768213717"/>
    <n v="0"/>
    <n v="286.75799600000005"/>
    <n v="0"/>
    <n v="307.95726633318492"/>
    <x v="4"/>
  </r>
  <r>
    <s v="Regular"/>
    <x v="2"/>
    <x v="1"/>
    <x v="0"/>
    <x v="7"/>
    <x v="2"/>
    <x v="0"/>
    <x v="1"/>
    <x v="8"/>
    <n v="0"/>
    <n v="0"/>
    <n v="0.38"/>
    <n v="0.152"/>
    <n v="0.38"/>
    <n v="0.152"/>
    <n v="0"/>
    <s v="CATIVO"/>
    <n v="0"/>
    <n v="0"/>
    <n v="55"/>
    <n v="20"/>
    <n v="0"/>
    <n v="441.31"/>
    <n v="132.22999999999999"/>
    <m/>
    <n v="554.80001091929842"/>
    <n v="128.42529768213717"/>
    <n v="0"/>
    <n v="160.48312000000001"/>
    <n v="0"/>
    <n v="172.34721827188554"/>
    <x v="4"/>
  </r>
  <r>
    <s v="Regular"/>
    <x v="2"/>
    <x v="1"/>
    <x v="0"/>
    <x v="7"/>
    <x v="2"/>
    <x v="0"/>
    <x v="1"/>
    <x v="9"/>
    <n v="0"/>
    <n v="0"/>
    <n v="0.26900000000000002"/>
    <n v="0.1076"/>
    <n v="0.26900000000000002"/>
    <n v="0.1076"/>
    <n v="0"/>
    <s v="CATIVO"/>
    <n v="0"/>
    <n v="0"/>
    <n v="55"/>
    <n v="20"/>
    <n v="0"/>
    <n v="441.31"/>
    <n v="132.22999999999999"/>
    <m/>
    <n v="554.80001091929842"/>
    <n v="128.42529768213717"/>
    <n v="0"/>
    <n v="113.60515600000001"/>
    <n v="0"/>
    <n v="122.00368872404529"/>
    <x v="4"/>
  </r>
  <r>
    <s v="Regular"/>
    <x v="2"/>
    <x v="1"/>
    <x v="0"/>
    <x v="7"/>
    <x v="2"/>
    <x v="0"/>
    <x v="1"/>
    <x v="10"/>
    <n v="0"/>
    <n v="0"/>
    <n v="0.22"/>
    <n v="8.7999999999999995E-2"/>
    <n v="0.22"/>
    <n v="8.7999999999999995E-2"/>
    <n v="0"/>
    <s v="CATIVO"/>
    <n v="0"/>
    <n v="0"/>
    <n v="55"/>
    <n v="20"/>
    <n v="0"/>
    <n v="441.31"/>
    <n v="132.22999999999999"/>
    <m/>
    <n v="554.80001091929842"/>
    <n v="128.42529768213717"/>
    <n v="0"/>
    <n v="92.911280000000005"/>
    <n v="0"/>
    <n v="99.779968473196888"/>
    <x v="4"/>
  </r>
  <r>
    <s v="PROJETADO"/>
    <x v="2"/>
    <x v="1"/>
    <x v="0"/>
    <x v="7"/>
    <x v="2"/>
    <x v="0"/>
    <x v="1"/>
    <x v="11"/>
    <n v="0"/>
    <n v="0"/>
    <n v="0.22"/>
    <n v="8.7999999999999995E-2"/>
    <n v="0.22"/>
    <n v="8.7999999999999995E-2"/>
    <n v="0"/>
    <s v="CATIVO"/>
    <n v="0"/>
    <n v="0"/>
    <n v="55"/>
    <n v="20"/>
    <n v="0"/>
    <n v="441.31"/>
    <n v="132.22999999999999"/>
    <m/>
    <n v="554.80001091929842"/>
    <n v="128.42529768213717"/>
    <n v="0"/>
    <n v="92.911280000000005"/>
    <n v="0"/>
    <n v="99.779968473196888"/>
    <x v="4"/>
  </r>
  <r>
    <s v="Regular"/>
    <x v="2"/>
    <x v="1"/>
    <x v="0"/>
    <x v="0"/>
    <x v="0"/>
    <x v="0"/>
    <x v="1"/>
    <x v="0"/>
    <n v="0"/>
    <n v="0"/>
    <n v="244.33500000000001"/>
    <n v="244.33500000000001"/>
    <n v="244.33500000000001"/>
    <n v="244.33500000000001"/>
    <n v="760"/>
    <s v="CATIVO"/>
    <n v="0"/>
    <n v="0"/>
    <n v="55"/>
    <n v="20"/>
    <n v="0"/>
    <n v="441.31"/>
    <n v="132.22999999999999"/>
    <m/>
    <n v="554.80001091929842"/>
    <n v="128.42529768213717"/>
    <n v="0"/>
    <n v="19106.997000000003"/>
    <n v="0"/>
    <n v="10655.48015598713"/>
    <x v="0"/>
  </r>
  <r>
    <s v="Sistema de Compensação"/>
    <x v="2"/>
    <x v="1"/>
    <x v="0"/>
    <x v="0"/>
    <x v="0"/>
    <x v="0"/>
    <x v="1"/>
    <x v="0"/>
    <n v="0"/>
    <n v="0"/>
    <n v="0.54800000000000004"/>
    <n v="0.54800000000000004"/>
    <n v="0.54800000000000004"/>
    <n v="0.54800000000000004"/>
    <n v="4"/>
    <s v="CATIVO"/>
    <n v="0"/>
    <n v="0"/>
    <n v="55"/>
    <n v="20"/>
    <n v="0"/>
    <n v="441.31"/>
    <n v="132.22999999999999"/>
    <m/>
    <n v="554.80001091929842"/>
    <n v="128.42529768213717"/>
    <n v="0"/>
    <n v="42.853600000000014"/>
    <n v="0"/>
    <n v="23.89834909235659"/>
    <x v="0"/>
  </r>
  <r>
    <s v="Regular"/>
    <x v="2"/>
    <x v="1"/>
    <x v="0"/>
    <x v="0"/>
    <x v="0"/>
    <x v="0"/>
    <x v="1"/>
    <x v="1"/>
    <n v="0"/>
    <n v="0"/>
    <n v="303.26799999999997"/>
    <n v="303.26799999999997"/>
    <n v="303.26799999999997"/>
    <n v="303.26799999999997"/>
    <n v="764"/>
    <s v="CATIVO"/>
    <n v="0"/>
    <n v="0"/>
    <n v="55"/>
    <n v="20"/>
    <n v="0"/>
    <n v="441.31"/>
    <n v="132.22999999999999"/>
    <m/>
    <n v="554.80001091929842"/>
    <n v="128.42529768213717"/>
    <n v="0"/>
    <n v="23715.557600000004"/>
    <n v="0"/>
    <n v="13225.555716315323"/>
    <x v="0"/>
  </r>
  <r>
    <s v="Refaturamento - Regular"/>
    <x v="2"/>
    <x v="1"/>
    <x v="0"/>
    <x v="0"/>
    <x v="0"/>
    <x v="0"/>
    <x v="1"/>
    <x v="1"/>
    <n v="0"/>
    <n v="0"/>
    <n v="-1"/>
    <n v="-1"/>
    <n v="-1"/>
    <n v="-1"/>
    <n v="0"/>
    <s v="CATIVO"/>
    <n v="0"/>
    <n v="0"/>
    <n v="55"/>
    <n v="20"/>
    <n v="0"/>
    <n v="441.31"/>
    <n v="132.22999999999999"/>
    <m/>
    <n v="554.80001091929842"/>
    <n v="128.42529768213717"/>
    <n v="0"/>
    <n v="-78.200000000000017"/>
    <n v="0"/>
    <n v="-43.610126080942678"/>
    <x v="0"/>
  </r>
  <r>
    <s v="Sistema de Compensação"/>
    <x v="2"/>
    <x v="1"/>
    <x v="0"/>
    <x v="0"/>
    <x v="0"/>
    <x v="0"/>
    <x v="1"/>
    <x v="1"/>
    <n v="0"/>
    <n v="0"/>
    <n v="0.56699999999999995"/>
    <n v="0.56699999999999995"/>
    <n v="0.56699999999999995"/>
    <n v="0.56699999999999995"/>
    <n v="4"/>
    <s v="CATIVO"/>
    <n v="0"/>
    <n v="0"/>
    <n v="55"/>
    <n v="20"/>
    <n v="0"/>
    <n v="441.31"/>
    <n v="132.22999999999999"/>
    <m/>
    <n v="554.80001091929842"/>
    <n v="128.42529768213717"/>
    <n v="0"/>
    <n v="44.339400000000005"/>
    <n v="0"/>
    <n v="24.726941487894496"/>
    <x v="0"/>
  </r>
  <r>
    <s v="Regular"/>
    <x v="2"/>
    <x v="1"/>
    <x v="0"/>
    <x v="0"/>
    <x v="0"/>
    <x v="0"/>
    <x v="1"/>
    <x v="2"/>
    <n v="0"/>
    <n v="0"/>
    <n v="335.06099999999998"/>
    <n v="335.06099999999998"/>
    <n v="335.06099999999998"/>
    <n v="335.06099999999998"/>
    <n v="764"/>
    <s v="CATIVO"/>
    <n v="0"/>
    <n v="0"/>
    <n v="55"/>
    <n v="20"/>
    <n v="0"/>
    <n v="441.31"/>
    <n v="132.22999999999999"/>
    <m/>
    <n v="554.80001091929842"/>
    <n v="128.42529768213717"/>
    <n v="0"/>
    <n v="26201.770200000003"/>
    <n v="0"/>
    <n v="14612.052454806733"/>
    <x v="0"/>
  </r>
  <r>
    <s v="Refaturamento - Regular"/>
    <x v="2"/>
    <x v="1"/>
    <x v="0"/>
    <x v="0"/>
    <x v="0"/>
    <x v="0"/>
    <x v="1"/>
    <x v="2"/>
    <n v="0"/>
    <n v="0"/>
    <n v="-1.5720000000000001"/>
    <n v="-1.5720000000000001"/>
    <n v="-1.5720000000000001"/>
    <n v="-1.5720000000000001"/>
    <n v="0"/>
    <s v="CATIVO"/>
    <n v="0"/>
    <n v="0"/>
    <n v="55"/>
    <n v="20"/>
    <n v="0"/>
    <n v="441.31"/>
    <n v="132.22999999999999"/>
    <m/>
    <n v="554.80001091929842"/>
    <n v="128.42529768213717"/>
    <n v="0"/>
    <n v="-122.93040000000003"/>
    <n v="0"/>
    <n v="-68.555118199241889"/>
    <x v="0"/>
  </r>
  <r>
    <s v="Sistema de Compensação"/>
    <x v="2"/>
    <x v="1"/>
    <x v="0"/>
    <x v="0"/>
    <x v="0"/>
    <x v="0"/>
    <x v="1"/>
    <x v="2"/>
    <n v="0"/>
    <n v="0"/>
    <n v="1.4790000000000001"/>
    <n v="1.4790000000000001"/>
    <n v="1.4790000000000001"/>
    <n v="1.4790000000000001"/>
    <n v="6"/>
    <s v="CATIVO"/>
    <n v="0"/>
    <n v="0"/>
    <n v="55"/>
    <n v="20"/>
    <n v="0"/>
    <n v="441.31"/>
    <n v="132.22999999999999"/>
    <m/>
    <n v="554.80001091929842"/>
    <n v="128.42529768213717"/>
    <n v="0"/>
    <n v="115.65780000000004"/>
    <n v="0"/>
    <n v="64.499376473714221"/>
    <x v="0"/>
  </r>
  <r>
    <s v="Regular"/>
    <x v="2"/>
    <x v="1"/>
    <x v="0"/>
    <x v="0"/>
    <x v="0"/>
    <x v="0"/>
    <x v="1"/>
    <x v="3"/>
    <n v="0"/>
    <n v="0"/>
    <n v="319.11"/>
    <n v="319.11"/>
    <n v="319.11"/>
    <n v="319.11"/>
    <n v="762"/>
    <s v="CATIVO"/>
    <n v="0"/>
    <n v="0"/>
    <n v="55"/>
    <n v="20"/>
    <n v="0"/>
    <n v="441.31"/>
    <n v="132.22999999999999"/>
    <m/>
    <n v="554.80001091929842"/>
    <n v="128.42529768213717"/>
    <n v="0"/>
    <n v="24954.402000000006"/>
    <n v="0"/>
    <n v="13916.427333689619"/>
    <x v="0"/>
  </r>
  <r>
    <s v="Refaturamento - Regular"/>
    <x v="2"/>
    <x v="1"/>
    <x v="0"/>
    <x v="0"/>
    <x v="0"/>
    <x v="0"/>
    <x v="1"/>
    <x v="3"/>
    <n v="0"/>
    <n v="0"/>
    <n v="-0.13400000000000001"/>
    <n v="-0.13400000000000001"/>
    <n v="-0.13400000000000001"/>
    <n v="-0.13400000000000001"/>
    <n v="0"/>
    <s v="CATIVO"/>
    <n v="0"/>
    <n v="0"/>
    <n v="55"/>
    <n v="20"/>
    <n v="0"/>
    <n v="441.31"/>
    <n v="132.22999999999999"/>
    <m/>
    <n v="554.80001091929842"/>
    <n v="128.42529768213717"/>
    <n v="0"/>
    <n v="-10.478800000000003"/>
    <n v="0"/>
    <n v="-5.8437568948463188"/>
    <x v="0"/>
  </r>
  <r>
    <s v="Sistema de Compensação"/>
    <x v="2"/>
    <x v="1"/>
    <x v="0"/>
    <x v="0"/>
    <x v="0"/>
    <x v="0"/>
    <x v="1"/>
    <x v="3"/>
    <n v="0"/>
    <n v="0"/>
    <n v="2.0459999999999998"/>
    <n v="2.0459999999999998"/>
    <n v="2.0459999999999998"/>
    <n v="2.0459999999999998"/>
    <n v="8"/>
    <s v="CATIVO"/>
    <n v="0"/>
    <n v="0"/>
    <n v="55"/>
    <n v="20"/>
    <n v="0"/>
    <n v="441.31"/>
    <n v="132.22999999999999"/>
    <m/>
    <n v="554.80001091929842"/>
    <n v="128.42529768213717"/>
    <n v="0"/>
    <n v="159.99720000000002"/>
    <n v="0"/>
    <n v="89.226317961608714"/>
    <x v="0"/>
  </r>
  <r>
    <s v="Regular"/>
    <x v="2"/>
    <x v="1"/>
    <x v="0"/>
    <x v="0"/>
    <x v="0"/>
    <x v="0"/>
    <x v="1"/>
    <x v="4"/>
    <n v="0"/>
    <n v="0"/>
    <n v="318.49099999999999"/>
    <n v="318.49099999999999"/>
    <n v="318.49099999999999"/>
    <n v="318.49099999999999"/>
    <n v="759"/>
    <s v="CATIVO"/>
    <n v="0"/>
    <n v="0"/>
    <n v="55"/>
    <n v="20"/>
    <n v="0"/>
    <n v="441.31"/>
    <n v="132.22999999999999"/>
    <m/>
    <n v="554.80001091929842"/>
    <n v="128.42529768213717"/>
    <n v="0"/>
    <n v="24905.996200000005"/>
    <n v="0"/>
    <n v="13889.432665645514"/>
    <x v="0"/>
  </r>
  <r>
    <s v="Sistema de Compensação"/>
    <x v="2"/>
    <x v="1"/>
    <x v="0"/>
    <x v="0"/>
    <x v="0"/>
    <x v="0"/>
    <x v="1"/>
    <x v="4"/>
    <n v="0"/>
    <n v="0"/>
    <n v="3.1779999999999999"/>
    <n v="3.1779999999999999"/>
    <n v="3.1779999999999999"/>
    <n v="3.1779999999999999"/>
    <n v="10"/>
    <s v="CATIVO"/>
    <n v="0"/>
    <n v="0"/>
    <n v="55"/>
    <n v="20"/>
    <n v="0"/>
    <n v="441.31"/>
    <n v="132.22999999999999"/>
    <m/>
    <n v="554.80001091929842"/>
    <n v="128.42529768213717"/>
    <n v="0"/>
    <n v="248.51960000000005"/>
    <n v="0"/>
    <n v="138.59298068523583"/>
    <x v="0"/>
  </r>
  <r>
    <s v="Regular"/>
    <x v="2"/>
    <x v="1"/>
    <x v="0"/>
    <x v="0"/>
    <x v="0"/>
    <x v="0"/>
    <x v="1"/>
    <x v="5"/>
    <n v="0"/>
    <n v="0"/>
    <n v="268.94799999999998"/>
    <n v="268.94799999999998"/>
    <n v="268.94799999999998"/>
    <n v="268.94799999999998"/>
    <n v="755"/>
    <s v="CATIVO"/>
    <n v="0"/>
    <n v="0"/>
    <n v="55"/>
    <n v="20"/>
    <n v="0"/>
    <n v="441.31"/>
    <n v="132.22999999999999"/>
    <m/>
    <n v="554.80001091929842"/>
    <n v="128.42529768213717"/>
    <n v="0"/>
    <n v="21031.733600000003"/>
    <n v="0"/>
    <n v="11728.856189217371"/>
    <x v="0"/>
  </r>
  <r>
    <s v="Refaturamento - Regular"/>
    <x v="2"/>
    <x v="1"/>
    <x v="0"/>
    <x v="0"/>
    <x v="0"/>
    <x v="0"/>
    <x v="1"/>
    <x v="5"/>
    <n v="0"/>
    <n v="0"/>
    <n v="-0.13300000000000001"/>
    <n v="-0.13300000000000001"/>
    <n v="-0.13300000000000001"/>
    <n v="-0.13300000000000001"/>
    <n v="0"/>
    <s v="CATIVO"/>
    <n v="0"/>
    <n v="0"/>
    <n v="55"/>
    <n v="20"/>
    <n v="0"/>
    <n v="441.31"/>
    <n v="132.22999999999999"/>
    <m/>
    <n v="554.80001091929842"/>
    <n v="128.42529768213717"/>
    <n v="0"/>
    <n v="-10.400600000000003"/>
    <n v="0"/>
    <n v="-5.8001467687653765"/>
    <x v="0"/>
  </r>
  <r>
    <s v="Sistema de Compensação"/>
    <x v="2"/>
    <x v="1"/>
    <x v="0"/>
    <x v="0"/>
    <x v="0"/>
    <x v="0"/>
    <x v="1"/>
    <x v="5"/>
    <n v="0"/>
    <n v="0"/>
    <n v="1.24"/>
    <n v="1.24"/>
    <n v="1.24"/>
    <n v="1.24"/>
    <n v="10"/>
    <s v="CATIVO"/>
    <n v="0"/>
    <n v="0"/>
    <n v="55"/>
    <n v="20"/>
    <n v="0"/>
    <n v="441.31"/>
    <n v="132.22999999999999"/>
    <m/>
    <n v="554.80001091929842"/>
    <n v="128.42529768213717"/>
    <n v="0"/>
    <n v="96.968000000000018"/>
    <n v="0"/>
    <n v="54.076556340368917"/>
    <x v="0"/>
  </r>
  <r>
    <s v="Regular"/>
    <x v="2"/>
    <x v="1"/>
    <x v="0"/>
    <x v="0"/>
    <x v="0"/>
    <x v="0"/>
    <x v="1"/>
    <x v="6"/>
    <n v="0"/>
    <n v="0"/>
    <n v="247.32499999999999"/>
    <n v="247.32499999999999"/>
    <n v="247.32499999999999"/>
    <n v="247.32499999999999"/>
    <n v="753"/>
    <s v="CATIVO"/>
    <n v="0"/>
    <n v="0"/>
    <n v="55"/>
    <n v="20"/>
    <n v="0"/>
    <n v="441.31"/>
    <n v="132.22999999999999"/>
    <m/>
    <n v="554.80001091929842"/>
    <n v="128.42529768213717"/>
    <n v="0"/>
    <n v="19340.815000000002"/>
    <n v="0"/>
    <n v="10785.874432969147"/>
    <x v="0"/>
  </r>
  <r>
    <s v="Refaturamento - Regular"/>
    <x v="2"/>
    <x v="1"/>
    <x v="0"/>
    <x v="0"/>
    <x v="0"/>
    <x v="0"/>
    <x v="1"/>
    <x v="6"/>
    <n v="0"/>
    <n v="0"/>
    <n v="-0.27300000000000002"/>
    <n v="-0.27300000000000002"/>
    <n v="-0.27300000000000002"/>
    <n v="-0.27300000000000002"/>
    <n v="0"/>
    <s v="CATIVO"/>
    <n v="0"/>
    <n v="0"/>
    <n v="55"/>
    <n v="20"/>
    <n v="0"/>
    <n v="441.31"/>
    <n v="132.22999999999999"/>
    <m/>
    <n v="554.80001091929842"/>
    <n v="128.42529768213717"/>
    <n v="0"/>
    <n v="-21.348600000000005"/>
    <n v="0"/>
    <n v="-11.905564420097352"/>
    <x v="0"/>
  </r>
  <r>
    <s v="Sistema de Compensação"/>
    <x v="2"/>
    <x v="1"/>
    <x v="0"/>
    <x v="0"/>
    <x v="0"/>
    <x v="0"/>
    <x v="1"/>
    <x v="6"/>
    <n v="0"/>
    <n v="0"/>
    <n v="4.9139999999999997"/>
    <n v="4.9139999999999997"/>
    <n v="4.9139999999999997"/>
    <n v="4.9139999999999997"/>
    <n v="12"/>
    <s v="CATIVO"/>
    <n v="0"/>
    <n v="0"/>
    <n v="55"/>
    <n v="20"/>
    <n v="0"/>
    <n v="441.31"/>
    <n v="132.22999999999999"/>
    <m/>
    <n v="554.80001091929842"/>
    <n v="128.42529768213717"/>
    <n v="0"/>
    <n v="384.27480000000008"/>
    <n v="0"/>
    <n v="214.30015956175231"/>
    <x v="0"/>
  </r>
  <r>
    <s v="Regular"/>
    <x v="2"/>
    <x v="1"/>
    <x v="0"/>
    <x v="0"/>
    <x v="0"/>
    <x v="0"/>
    <x v="1"/>
    <x v="7"/>
    <n v="0"/>
    <n v="0"/>
    <n v="226.661"/>
    <n v="226.661"/>
    <n v="226.661"/>
    <n v="226.661"/>
    <n v="756"/>
    <s v="CATIVO"/>
    <n v="0"/>
    <n v="0"/>
    <n v="55"/>
    <n v="20"/>
    <n v="0"/>
    <n v="441.31"/>
    <n v="132.22999999999999"/>
    <m/>
    <n v="554.80001091929842"/>
    <n v="128.42529768213717"/>
    <n v="0"/>
    <n v="17724.890200000005"/>
    <n v="0"/>
    <n v="9884.7147876325489"/>
    <x v="0"/>
  </r>
  <r>
    <s v="Refaturamento - Regular"/>
    <x v="2"/>
    <x v="1"/>
    <x v="0"/>
    <x v="0"/>
    <x v="0"/>
    <x v="0"/>
    <x v="1"/>
    <x v="7"/>
    <n v="0"/>
    <n v="0"/>
    <n v="-0.55200000000000005"/>
    <n v="-0.55200000000000005"/>
    <n v="-0.55200000000000005"/>
    <n v="-0.55200000000000005"/>
    <n v="0"/>
    <s v="CATIVO"/>
    <n v="0"/>
    <n v="0"/>
    <n v="55"/>
    <n v="20"/>
    <n v="0"/>
    <n v="441.31"/>
    <n v="132.22999999999999"/>
    <m/>
    <n v="554.80001091929842"/>
    <n v="128.42529768213717"/>
    <n v="0"/>
    <n v="-43.16640000000001"/>
    <n v="0"/>
    <n v="-24.072789596680359"/>
    <x v="0"/>
  </r>
  <r>
    <s v="Sistema de Compensação"/>
    <x v="2"/>
    <x v="1"/>
    <x v="0"/>
    <x v="0"/>
    <x v="0"/>
    <x v="0"/>
    <x v="1"/>
    <x v="7"/>
    <n v="0"/>
    <n v="0"/>
    <n v="4.5819999999999999"/>
    <n v="4.5819999999999999"/>
    <n v="4.5819999999999999"/>
    <n v="4.5819999999999999"/>
    <n v="12"/>
    <s v="CATIVO"/>
    <n v="0"/>
    <n v="0"/>
    <n v="55"/>
    <n v="20"/>
    <n v="0"/>
    <n v="441.31"/>
    <n v="132.22999999999999"/>
    <m/>
    <n v="554.80001091929842"/>
    <n v="128.42529768213717"/>
    <n v="0"/>
    <n v="358.31240000000008"/>
    <n v="0"/>
    <n v="199.82159770287933"/>
    <x v="0"/>
  </r>
  <r>
    <s v="Regular"/>
    <x v="2"/>
    <x v="1"/>
    <x v="0"/>
    <x v="0"/>
    <x v="0"/>
    <x v="0"/>
    <x v="1"/>
    <x v="8"/>
    <n v="0"/>
    <n v="0"/>
    <n v="212.1"/>
    <n v="212.1"/>
    <n v="212.1"/>
    <n v="212.1"/>
    <n v="756"/>
    <s v="CATIVO"/>
    <n v="0"/>
    <n v="0"/>
    <n v="55"/>
    <n v="20"/>
    <n v="0"/>
    <n v="441.31"/>
    <n v="132.22999999999999"/>
    <m/>
    <n v="554.80001091929842"/>
    <n v="128.42529768213717"/>
    <n v="0"/>
    <n v="16586.220000000005"/>
    <n v="0"/>
    <n v="9249.7077417679411"/>
    <x v="0"/>
  </r>
  <r>
    <s v="Refaturamento - Regular"/>
    <x v="2"/>
    <x v="1"/>
    <x v="0"/>
    <x v="0"/>
    <x v="0"/>
    <x v="0"/>
    <x v="1"/>
    <x v="8"/>
    <n v="0"/>
    <n v="0"/>
    <n v="-0.55500000000000005"/>
    <n v="-0.55500000000000005"/>
    <n v="-0.55500000000000005"/>
    <n v="-0.55500000000000005"/>
    <n v="0"/>
    <s v="CATIVO"/>
    <n v="0"/>
    <n v="0"/>
    <n v="55"/>
    <n v="20"/>
    <n v="0"/>
    <n v="441.31"/>
    <n v="132.22999999999999"/>
    <m/>
    <n v="554.80001091929842"/>
    <n v="128.42529768213717"/>
    <n v="0"/>
    <n v="-43.40100000000001"/>
    <n v="0"/>
    <n v="-24.203619974923189"/>
    <x v="0"/>
  </r>
  <r>
    <s v="Sistema de Compensação"/>
    <x v="2"/>
    <x v="1"/>
    <x v="0"/>
    <x v="0"/>
    <x v="0"/>
    <x v="0"/>
    <x v="1"/>
    <x v="8"/>
    <n v="0"/>
    <n v="0"/>
    <n v="3.8839999999999999"/>
    <n v="3.8839999999999999"/>
    <n v="3.8839999999999999"/>
    <n v="3.8839999999999999"/>
    <n v="12"/>
    <s v="CATIVO"/>
    <n v="0"/>
    <n v="0"/>
    <n v="55"/>
    <n v="20"/>
    <n v="0"/>
    <n v="441.31"/>
    <n v="132.22999999999999"/>
    <m/>
    <n v="554.80001091929842"/>
    <n v="128.42529768213717"/>
    <n v="0"/>
    <n v="303.72880000000004"/>
    <n v="0"/>
    <n v="169.38172969838135"/>
    <x v="0"/>
  </r>
  <r>
    <s v="Regular"/>
    <x v="2"/>
    <x v="1"/>
    <x v="0"/>
    <x v="0"/>
    <x v="0"/>
    <x v="0"/>
    <x v="1"/>
    <x v="9"/>
    <n v="0"/>
    <n v="0"/>
    <n v="228.16300000000001"/>
    <n v="228.16300000000001"/>
    <n v="228.16300000000001"/>
    <n v="228.16300000000001"/>
    <n v="756"/>
    <s v="CATIVO"/>
    <n v="0"/>
    <n v="0"/>
    <n v="55"/>
    <n v="20"/>
    <n v="0"/>
    <n v="441.31"/>
    <n v="132.22999999999999"/>
    <m/>
    <n v="554.80001091929842"/>
    <n v="128.42529768213717"/>
    <n v="0"/>
    <n v="17842.346600000004"/>
    <n v="0"/>
    <n v="9950.2171970061245"/>
    <x v="0"/>
  </r>
  <r>
    <s v="Refaturamento - Regular"/>
    <x v="2"/>
    <x v="1"/>
    <x v="0"/>
    <x v="0"/>
    <x v="0"/>
    <x v="0"/>
    <x v="1"/>
    <x v="9"/>
    <n v="0"/>
    <n v="0"/>
    <n v="-0.50800000000000001"/>
    <n v="-0.50800000000000001"/>
    <n v="-0.50800000000000001"/>
    <n v="-0.50800000000000001"/>
    <n v="0"/>
    <s v="CATIVO"/>
    <n v="0"/>
    <n v="0"/>
    <n v="55"/>
    <n v="20"/>
    <n v="0"/>
    <n v="441.31"/>
    <n v="132.22999999999999"/>
    <m/>
    <n v="554.80001091929842"/>
    <n v="128.42529768213717"/>
    <n v="0"/>
    <n v="-39.725600000000007"/>
    <n v="0"/>
    <n v="-22.153944049118881"/>
    <x v="0"/>
  </r>
  <r>
    <s v="Sistema de Compensação"/>
    <x v="2"/>
    <x v="1"/>
    <x v="0"/>
    <x v="0"/>
    <x v="0"/>
    <x v="0"/>
    <x v="1"/>
    <x v="9"/>
    <n v="0"/>
    <n v="0"/>
    <n v="5.6390000000000002"/>
    <n v="5.6390000000000002"/>
    <n v="5.6390000000000002"/>
    <n v="5.6390000000000002"/>
    <n v="12"/>
    <s v="CATIVO"/>
    <n v="0"/>
    <n v="0"/>
    <n v="55"/>
    <n v="20"/>
    <n v="0"/>
    <n v="441.31"/>
    <n v="132.22999999999999"/>
    <m/>
    <n v="554.80001091929842"/>
    <n v="128.42529768213717"/>
    <n v="0"/>
    <n v="440.96980000000013"/>
    <n v="0"/>
    <n v="245.91750097043578"/>
    <x v="0"/>
  </r>
  <r>
    <s v="Regular"/>
    <x v="2"/>
    <x v="1"/>
    <x v="0"/>
    <x v="0"/>
    <x v="0"/>
    <x v="0"/>
    <x v="1"/>
    <x v="10"/>
    <n v="0"/>
    <n v="0"/>
    <n v="214.50700000000001"/>
    <n v="214.50700000000001"/>
    <n v="214.50700000000001"/>
    <n v="214.50700000000001"/>
    <n v="750"/>
    <s v="CATIVO"/>
    <n v="0"/>
    <n v="0"/>
    <n v="55"/>
    <n v="20"/>
    <n v="0"/>
    <n v="441.31"/>
    <n v="132.22999999999999"/>
    <m/>
    <n v="554.80001091929842"/>
    <n v="128.42529768213717"/>
    <n v="0"/>
    <n v="16774.447400000005"/>
    <n v="0"/>
    <n v="9354.6773152447713"/>
    <x v="0"/>
  </r>
  <r>
    <s v="Sistema de Compensação"/>
    <x v="2"/>
    <x v="1"/>
    <x v="0"/>
    <x v="0"/>
    <x v="0"/>
    <x v="0"/>
    <x v="1"/>
    <x v="10"/>
    <n v="0"/>
    <n v="0"/>
    <n v="5.5209999999999999"/>
    <n v="5.5209999999999999"/>
    <n v="5.5209999999999999"/>
    <n v="5.5209999999999999"/>
    <n v="12"/>
    <s v="CATIVO"/>
    <n v="0"/>
    <n v="0"/>
    <n v="55"/>
    <n v="20"/>
    <n v="0"/>
    <n v="441.31"/>
    <n v="132.22999999999999"/>
    <m/>
    <n v="554.80001091929842"/>
    <n v="128.42529768213717"/>
    <n v="0"/>
    <n v="431.74220000000008"/>
    <n v="0"/>
    <n v="240.77150609288452"/>
    <x v="0"/>
  </r>
  <r>
    <s v="PROJETADO"/>
    <x v="2"/>
    <x v="1"/>
    <x v="0"/>
    <x v="0"/>
    <x v="0"/>
    <x v="0"/>
    <x v="1"/>
    <x v="11"/>
    <n v="0"/>
    <n v="0"/>
    <n v="214.50700000000001"/>
    <n v="214.50700000000001"/>
    <n v="214.50700000000001"/>
    <n v="214.50700000000001"/>
    <n v="750"/>
    <s v="CATIVO"/>
    <n v="0"/>
    <n v="0"/>
    <n v="55"/>
    <n v="20"/>
    <n v="0"/>
    <n v="441.31"/>
    <n v="132.22999999999999"/>
    <m/>
    <n v="554.80001091929842"/>
    <n v="128.42529768213717"/>
    <n v="0"/>
    <n v="16774.447400000005"/>
    <n v="0"/>
    <n v="9354.6773152447713"/>
    <x v="0"/>
  </r>
  <r>
    <s v="PROJETADO"/>
    <x v="2"/>
    <x v="1"/>
    <x v="0"/>
    <x v="0"/>
    <x v="0"/>
    <x v="0"/>
    <x v="1"/>
    <x v="11"/>
    <n v="0"/>
    <n v="0"/>
    <n v="5.5209999999999999"/>
    <n v="5.5209999999999999"/>
    <n v="5.5209999999999999"/>
    <n v="5.5209999999999999"/>
    <n v="12"/>
    <s v="CATIVO"/>
    <n v="0"/>
    <n v="0"/>
    <n v="55"/>
    <n v="20"/>
    <n v="0"/>
    <n v="441.31"/>
    <n v="132.22999999999999"/>
    <m/>
    <n v="554.80001091929842"/>
    <n v="128.42529768213717"/>
    <n v="0"/>
    <n v="431.74220000000008"/>
    <n v="0"/>
    <n v="240.77150609288452"/>
    <x v="0"/>
  </r>
  <r>
    <s v="Regular"/>
    <x v="3"/>
    <x v="1"/>
    <x v="1"/>
    <x v="1"/>
    <x v="0"/>
    <x v="0"/>
    <x v="1"/>
    <x v="0"/>
    <n v="0"/>
    <n v="0"/>
    <n v="17.172999999999998"/>
    <n v="16.142619999999997"/>
    <n v="17.172999999999998"/>
    <n v="16.142619999999997"/>
    <n v="33"/>
    <s v="CATIVO"/>
    <n v="0"/>
    <n v="0"/>
    <n v="66"/>
    <n v="10"/>
    <n v="0"/>
    <n v="501.48"/>
    <n v="150.26"/>
    <m/>
    <n v="590.21277757372172"/>
    <n v="136.62265710865657"/>
    <n v="0"/>
    <n v="671.53986120000059"/>
    <n v="0"/>
    <n v="748.91669518802962"/>
    <x v="1"/>
  </r>
  <r>
    <s v="Regular"/>
    <x v="3"/>
    <x v="1"/>
    <x v="1"/>
    <x v="1"/>
    <x v="0"/>
    <x v="0"/>
    <x v="1"/>
    <x v="1"/>
    <n v="0"/>
    <n v="0"/>
    <n v="16.812000000000001"/>
    <n v="15.803280000000001"/>
    <n v="16.812000000000001"/>
    <n v="15.803280000000001"/>
    <n v="33"/>
    <s v="CATIVO"/>
    <n v="0"/>
    <n v="0"/>
    <n v="66"/>
    <n v="10"/>
    <n v="0"/>
    <n v="501.48"/>
    <n v="150.26"/>
    <m/>
    <n v="590.21277757372172"/>
    <n v="136.62265710865657"/>
    <n v="0"/>
    <n v="657.4231728000002"/>
    <n v="0"/>
    <n v="733.17343967280885"/>
    <x v="1"/>
  </r>
  <r>
    <s v="Regular"/>
    <x v="3"/>
    <x v="1"/>
    <x v="1"/>
    <x v="1"/>
    <x v="0"/>
    <x v="0"/>
    <x v="1"/>
    <x v="2"/>
    <n v="0"/>
    <n v="0"/>
    <n v="18.056999999999999"/>
    <n v="16.973579999999998"/>
    <n v="18.056999999999999"/>
    <n v="16.973579999999998"/>
    <n v="33"/>
    <s v="CATIVO"/>
    <n v="0"/>
    <n v="0"/>
    <n v="66"/>
    <n v="10"/>
    <n v="0"/>
    <n v="501.48"/>
    <n v="150.26"/>
    <m/>
    <n v="590.21277757372172"/>
    <n v="136.62265710865657"/>
    <n v="0"/>
    <n v="706.1081508000002"/>
    <n v="0"/>
    <n v="787.46804664358251"/>
    <x v="1"/>
  </r>
  <r>
    <s v="Regular"/>
    <x v="3"/>
    <x v="1"/>
    <x v="1"/>
    <x v="1"/>
    <x v="0"/>
    <x v="0"/>
    <x v="1"/>
    <x v="3"/>
    <n v="0"/>
    <n v="0"/>
    <n v="18.302"/>
    <n v="17.203880000000002"/>
    <n v="18.302"/>
    <n v="17.203880000000002"/>
    <n v="35"/>
    <s v="CATIVO"/>
    <n v="0"/>
    <n v="0"/>
    <n v="66"/>
    <n v="10"/>
    <n v="0"/>
    <n v="501.48"/>
    <n v="150.26"/>
    <m/>
    <n v="590.21277757372172"/>
    <n v="136.62265710865657"/>
    <n v="0"/>
    <n v="715.68872879999867"/>
    <n v="0"/>
    <n v="798.15252753341179"/>
    <x v="1"/>
  </r>
  <r>
    <s v="Regular"/>
    <x v="3"/>
    <x v="1"/>
    <x v="1"/>
    <x v="1"/>
    <x v="0"/>
    <x v="0"/>
    <x v="1"/>
    <x v="4"/>
    <n v="0"/>
    <n v="0"/>
    <n v="21.271999999999998"/>
    <n v="19.99568"/>
    <n v="21.271999999999998"/>
    <n v="19.99568"/>
    <n v="35"/>
    <s v="CATIVO"/>
    <n v="0"/>
    <n v="0"/>
    <n v="66"/>
    <n v="10"/>
    <n v="0"/>
    <n v="501.48"/>
    <n v="150.26"/>
    <m/>
    <n v="590.21277757372172"/>
    <n v="136.62265710865657"/>
    <n v="0"/>
    <n v="831.82879679999894"/>
    <n v="0"/>
    <n v="927.67460199381185"/>
    <x v="1"/>
  </r>
  <r>
    <s v="Regular"/>
    <x v="3"/>
    <x v="1"/>
    <x v="1"/>
    <x v="1"/>
    <x v="0"/>
    <x v="0"/>
    <x v="1"/>
    <x v="5"/>
    <n v="0"/>
    <n v="0"/>
    <n v="24.638999999999999"/>
    <n v="23.16066"/>
    <n v="24.638999999999999"/>
    <n v="23.16066"/>
    <n v="35"/>
    <s v="CATIVO"/>
    <n v="0"/>
    <n v="0"/>
    <n v="66"/>
    <n v="10"/>
    <n v="0"/>
    <n v="501.48"/>
    <n v="150.26"/>
    <m/>
    <n v="590.21277757372172"/>
    <n v="136.62265710865657"/>
    <n v="0"/>
    <n v="963.49331159999952"/>
    <n v="0"/>
    <n v="1074.5098965083466"/>
    <x v="1"/>
  </r>
  <r>
    <s v="Regular"/>
    <x v="3"/>
    <x v="1"/>
    <x v="1"/>
    <x v="1"/>
    <x v="0"/>
    <x v="0"/>
    <x v="1"/>
    <x v="6"/>
    <n v="0"/>
    <n v="0"/>
    <n v="22.068000000000001"/>
    <n v="20.743919999999999"/>
    <n v="22.068000000000001"/>
    <n v="20.743919999999999"/>
    <n v="35"/>
    <s v="CATIVO"/>
    <n v="0"/>
    <n v="0"/>
    <n v="66"/>
    <n v="10"/>
    <n v="0"/>
    <n v="501.48"/>
    <n v="150.26"/>
    <m/>
    <n v="590.21277757372172"/>
    <n v="136.62265710865657"/>
    <n v="0"/>
    <n v="862.95589920000145"/>
    <n v="0"/>
    <n v="962.38826235424506"/>
    <x v="1"/>
  </r>
  <r>
    <s v="Regular"/>
    <x v="3"/>
    <x v="1"/>
    <x v="1"/>
    <x v="1"/>
    <x v="0"/>
    <x v="0"/>
    <x v="1"/>
    <x v="7"/>
    <n v="0"/>
    <n v="0"/>
    <n v="20.841000000000001"/>
    <n v="19.590540000000001"/>
    <n v="20.841000000000001"/>
    <n v="19.590540000000001"/>
    <n v="35"/>
    <s v="CATIVO"/>
    <n v="0"/>
    <n v="0"/>
    <n v="66"/>
    <n v="10"/>
    <n v="0"/>
    <n v="501.48"/>
    <n v="150.26"/>
    <m/>
    <n v="590.21277757372172"/>
    <n v="136.62265710865657"/>
    <n v="0"/>
    <n v="814.97480040000028"/>
    <n v="0"/>
    <n v="908.87863765292707"/>
    <x v="1"/>
  </r>
  <r>
    <s v="Regular"/>
    <x v="3"/>
    <x v="1"/>
    <x v="1"/>
    <x v="1"/>
    <x v="0"/>
    <x v="0"/>
    <x v="1"/>
    <x v="8"/>
    <n v="0"/>
    <n v="0"/>
    <n v="19.794"/>
    <n v="18.606359999999999"/>
    <n v="19.794"/>
    <n v="18.606359999999999"/>
    <n v="35"/>
    <s v="CATIVO"/>
    <n v="0"/>
    <n v="0"/>
    <n v="66"/>
    <n v="10"/>
    <n v="0"/>
    <n v="501.48"/>
    <n v="150.26"/>
    <m/>
    <n v="590.21277757372172"/>
    <n v="136.62265710865657"/>
    <n v="0"/>
    <n v="774.03249360000109"/>
    <n v="0"/>
    <n v="863.21883564618111"/>
    <x v="1"/>
  </r>
  <r>
    <s v="Regular"/>
    <x v="3"/>
    <x v="1"/>
    <x v="1"/>
    <x v="1"/>
    <x v="0"/>
    <x v="0"/>
    <x v="1"/>
    <x v="9"/>
    <n v="0"/>
    <n v="0"/>
    <n v="21.469000000000001"/>
    <n v="20.180859999999999"/>
    <n v="21.469000000000001"/>
    <n v="20.180859999999999"/>
    <n v="35"/>
    <s v="CATIVO"/>
    <n v="0"/>
    <n v="0"/>
    <n v="66"/>
    <n v="10"/>
    <n v="0"/>
    <n v="501.48"/>
    <n v="150.26"/>
    <m/>
    <n v="590.21277757372172"/>
    <n v="136.62265710865657"/>
    <n v="0"/>
    <n v="839.53236360000142"/>
    <n v="0"/>
    <n v="936.26579683176033"/>
    <x v="1"/>
  </r>
  <r>
    <s v="Regular"/>
    <x v="3"/>
    <x v="1"/>
    <x v="1"/>
    <x v="1"/>
    <x v="0"/>
    <x v="0"/>
    <x v="1"/>
    <x v="10"/>
    <n v="0"/>
    <n v="0"/>
    <n v="20.888000000000002"/>
    <n v="19.634720000000002"/>
    <n v="20.888000000000002"/>
    <n v="19.634720000000002"/>
    <n v="35"/>
    <s v="CATIVO"/>
    <n v="0"/>
    <n v="0"/>
    <n v="66"/>
    <n v="10"/>
    <n v="0"/>
    <n v="501.48"/>
    <n v="150.26"/>
    <m/>
    <n v="590.21277757372172"/>
    <n v="136.62265710865657"/>
    <n v="0"/>
    <n v="816.8127072000002"/>
    <n v="0"/>
    <n v="910.92831357873115"/>
    <x v="1"/>
  </r>
  <r>
    <s v="PROJETADO"/>
    <x v="3"/>
    <x v="1"/>
    <x v="1"/>
    <x v="1"/>
    <x v="0"/>
    <x v="0"/>
    <x v="1"/>
    <x v="11"/>
    <n v="0"/>
    <n v="0"/>
    <n v="20.888000000000002"/>
    <n v="19.634720000000002"/>
    <n v="20.888000000000002"/>
    <n v="19.634720000000002"/>
    <n v="35"/>
    <s v="CATIVO"/>
    <n v="0"/>
    <n v="0"/>
    <n v="66"/>
    <n v="10"/>
    <n v="0"/>
    <n v="501.48"/>
    <n v="150.26"/>
    <m/>
    <n v="590.21277757372172"/>
    <n v="136.62265710865657"/>
    <n v="0"/>
    <n v="816.8127072000002"/>
    <n v="0"/>
    <n v="910.9283135787311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BDF5E-D7C7-46A1-8354-67FDC8702C32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23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9">
        <item x="1"/>
        <item x="6"/>
        <item x="7"/>
        <item x="0"/>
        <item x="2"/>
        <item x="5"/>
        <item x="3"/>
        <item x="4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22">
    <i>
      <x/>
    </i>
    <i r="1">
      <x/>
    </i>
    <i r="2">
      <x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10"/>
    </i>
    <i r="8">
      <x v="11"/>
    </i>
    <i r="3">
      <x v="7"/>
    </i>
    <i r="4">
      <x v="1"/>
    </i>
    <i r="5">
      <x v="2"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2"/>
    </i>
    <i r="3">
      <x v="5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2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62">
    <format dxfId="571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7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69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6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67">
      <pivotArea type="all" dataOnly="0" outline="0" fieldPosition="0"/>
    </format>
    <format dxfId="566">
      <pivotArea outline="0" collapsedLevelsAreSubtotals="1" fieldPosition="0"/>
    </format>
    <format dxfId="565">
      <pivotArea field="16" type="button" dataOnly="0" labelOnly="1" outline="0" axis="axisRow" fieldPosition="0"/>
    </format>
    <format dxfId="564">
      <pivotArea dataOnly="0" labelOnly="1" fieldPosition="0">
        <references count="1">
          <reference field="16" count="0"/>
        </references>
      </pivotArea>
    </format>
    <format dxfId="563">
      <pivotArea dataOnly="0" labelOnly="1" fieldPosition="0">
        <references count="2">
          <reference field="1" count="0"/>
          <reference field="16" count="0" selected="0"/>
        </references>
      </pivotArea>
    </format>
    <format dxfId="56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561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0" selected="0"/>
        </references>
      </pivotArea>
    </format>
    <format dxfId="560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559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558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55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55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5">
            <x v="0"/>
            <x v="3"/>
            <x v="4"/>
            <x v="6"/>
            <x v="7"/>
          </reference>
          <reference field="16" count="0" selected="0"/>
        </references>
      </pivotArea>
    </format>
    <format dxfId="555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554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55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552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551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55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54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54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54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54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54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44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543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54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54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54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53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53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53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36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53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3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3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3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3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3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2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52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52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52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524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523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2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2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2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1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1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1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16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51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7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0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02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5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9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49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8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8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4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3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7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5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4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6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6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6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6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6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6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8">
            <x v="0"/>
            <x v="1"/>
            <x v="2"/>
            <x v="3"/>
            <x v="4"/>
            <x v="5"/>
            <x v="10"/>
            <x v="11"/>
          </reference>
          <reference field="16" count="0" selected="0"/>
        </references>
      </pivotArea>
    </format>
    <format dxfId="45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5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5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56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9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4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4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4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0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3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16" type="button" dataOnly="0" labelOnly="1" outline="0" axis="axisRow" fieldPosition="0"/>
    </format>
    <format dxfId="435">
      <pivotArea dataOnly="0" labelOnly="1" fieldPosition="0">
        <references count="1">
          <reference field="16" count="0"/>
        </references>
      </pivotArea>
    </format>
    <format dxfId="434">
      <pivotArea dataOnly="0" labelOnly="1" fieldPosition="0">
        <references count="2">
          <reference field="1" count="0"/>
          <reference field="16" count="0" selected="0"/>
        </references>
      </pivotArea>
    </format>
    <format dxfId="43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432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430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429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428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427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5">
            <x v="0"/>
            <x v="3"/>
            <x v="4"/>
            <x v="6"/>
            <x v="7"/>
          </reference>
          <reference field="16" count="0" selected="0"/>
        </references>
      </pivotArea>
    </format>
    <format dxfId="426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425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42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423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22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1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1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1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41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15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14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41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12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1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1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0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0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07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0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0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0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0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9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9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9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95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94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87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8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7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7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7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6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6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6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6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6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6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5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4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3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5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4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8">
            <x v="0"/>
            <x v="1"/>
            <x v="2"/>
            <x v="3"/>
            <x v="4"/>
            <x v="5"/>
            <x v="10"/>
            <x v="11"/>
          </reference>
          <reference field="16" count="0" selected="0"/>
        </references>
      </pivotArea>
    </format>
    <format dxfId="33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2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2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2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6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1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61E23-46A0-4E62-85DB-C11A54AB9337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3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9">
        <item x="7"/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1"/>
        <item x="3"/>
        <item x="4"/>
        <item x="0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33">
    <i>
      <x/>
    </i>
    <i r="1">
      <x/>
    </i>
    <i r="2">
      <x v="1"/>
    </i>
    <i r="3">
      <x v="2"/>
    </i>
    <i r="4">
      <x v="1"/>
    </i>
    <i r="5">
      <x v="2"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2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3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60">
    <format dxfId="309">
      <pivotArea outline="0" collapsedLevelsAreSubtotals="1" fieldPosition="0"/>
    </format>
    <format dxfId="30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31" type="button" dataOnly="0" labelOnly="1" outline="0" axis="axisRow" fieldPosition="0"/>
    </format>
    <format dxfId="304">
      <pivotArea dataOnly="0" labelOnly="1" fieldPosition="0">
        <references count="1">
          <reference field="31" count="0"/>
        </references>
      </pivotArea>
    </format>
    <format dxfId="30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0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01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30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9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9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9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9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9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9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9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9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8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8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8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8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8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8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7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7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7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7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7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7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7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7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7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7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6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6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6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6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6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5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5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5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5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5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5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5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4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4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4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4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4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3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3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10"/>
            <x v="11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2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31" type="button" dataOnly="0" labelOnly="1" outline="0" axis="axisRow" fieldPosition="0"/>
    </format>
    <format dxfId="225">
      <pivotArea dataOnly="0" labelOnly="1" fieldPosition="0">
        <references count="1">
          <reference field="31" count="0"/>
        </references>
      </pivotArea>
    </format>
    <format dxfId="224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23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2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2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20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1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1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16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1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1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1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0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0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0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9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9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9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9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8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10"/>
            <x v="11"/>
          </reference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C52F50-4D6D-4126-A1BA-0602C7936955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E3B14D9-49BA-4A13-8B04-D6D7E6C53AC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F857DD7-9026-4BCD-9A9F-67029BC8D93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DA155-282B-4663-ACAE-77C5CA93BCB8}" name="Efeito" displayName="Efeito" ref="A1:AG548" totalsRowShown="0" headerRowDxfId="640" dataDxfId="639">
  <autoFilter ref="A1:AG548" xr:uid="{145DA155-282B-4663-ACAE-77C5CA93BCB8}"/>
  <tableColumns count="33">
    <tableColumn id="1" xr3:uid="{D7900E3D-396A-416C-A165-A639008F6EB2}" name="TipoMercado" dataDxfId="638"/>
    <tableColumn id="2" xr3:uid="{1E57764C-EFD1-4B1B-AAB3-7C0854CB89E1}" name="Subgrupo" dataDxfId="637"/>
    <tableColumn id="3" xr3:uid="{6DF77443-C620-4F56-9412-397C57CC2759}" name="Modalidade" dataDxfId="636"/>
    <tableColumn id="4" xr3:uid="{DC84563B-9678-466A-8B9D-C49C94D4B0E4}" name="Classe" dataDxfId="635"/>
    <tableColumn id="5" xr3:uid="{DDA91068-505F-4CFB-92B6-92F21C568091}" name="Subclasse" dataDxfId="634"/>
    <tableColumn id="6" xr3:uid="{DEDB4FCB-3ABD-44D2-B51E-1C1279390529}" name="Detalhe" dataDxfId="633"/>
    <tableColumn id="7" xr3:uid="{5FC9B8F7-EDD7-41FD-8C88-79A3DE6DA2E8}" name="Agente" dataDxfId="632"/>
    <tableColumn id="8" xr3:uid="{6BFE359C-535C-4237-A923-80F5F83D9A42}" name="Posto" dataDxfId="631"/>
    <tableColumn id="9" xr3:uid="{514372F0-5817-40AF-9A5D-9488F00EEDEF}" name="AnoMes" dataDxfId="630"/>
    <tableColumn id="10" xr3:uid="{C246129A-63EF-4B7A-9F10-D3EA9494F351}" name="D" dataDxfId="629"/>
    <tableColumn id="11" xr3:uid="{2098FFC7-C28C-473A-A339-16A84F8BB925}" name="Daj" dataDxfId="628"/>
    <tableColumn id="12" xr3:uid="{9B091EED-0CFC-49AE-8819-7BE173E4EBF2}" name="TUSD_E" dataDxfId="627"/>
    <tableColumn id="13" xr3:uid="{BBDA5CC6-6D9E-402A-9861-3C27616FE83B}" name="TUSD_Eaj" dataDxfId="626"/>
    <tableColumn id="14" xr3:uid="{7052A990-456A-43AB-B20D-D13638780E91}" name="TE_E" dataDxfId="625"/>
    <tableColumn id="15" xr3:uid="{4D1EE812-8A80-4103-9872-0AF01CFAA4D9}" name="TE_Eaj" dataDxfId="624"/>
    <tableColumn id="16" xr3:uid="{6E37C27D-E896-4846-B49D-3260D834637B}" name="UC" dataDxfId="623"/>
    <tableColumn id="17" xr3:uid="{AE460486-2778-4972-9357-2836C6CFCE61}" name="OPÇÃO" dataDxfId="622"/>
    <tableColumn id="18" xr3:uid="{E9E4CF21-37C8-4B24-9DE3-EF2AE1BC71D1}" name="CóD. AUX." dataDxfId="621"/>
    <tableColumn id="19" xr3:uid="{E80AC098-2C5F-462E-8677-9ED6A67224D3}" name="CóD. AUX. TUSD R$/kW" dataDxfId="620"/>
    <tableColumn id="20" xr3:uid="{BDD34671-CFFA-443F-9C29-9D08CFCEC4C1}" name="CóD. AUX. TUSD R$/MWh" dataDxfId="619"/>
    <tableColumn id="21" xr3:uid="{2D6C0642-9FAF-428D-BA03-2001A9F0B7C9}" name="CóD. AUX. TE R$/MWh" dataDxfId="618"/>
    <tableColumn id="22" xr3:uid="{F97D647B-9841-4DA3-AD80-DA67C23F838F}" name="TUSD (R$/kW)" dataDxfId="617"/>
    <tableColumn id="23" xr3:uid="{DE9254B0-1907-4324-8EC4-F4C34877A9BA}" name="TUSD (R$/MWh)" dataDxfId="616"/>
    <tableColumn id="24" xr3:uid="{CBDCFC30-8C78-4C74-B0EC-727902982DB0}" name="TE (R$/MWh)" dataDxfId="615"/>
    <tableColumn id="25" xr3:uid="{04DA9DBB-0ECD-4FAF-BFCF-196A33C79F20}" name="TUSD (R$/kW) NOVA" dataDxfId="614"/>
    <tableColumn id="26" xr3:uid="{C447A166-0D5A-4823-AD04-B531E8857F42}" name="TUSD (R$/MWh) NOVA" dataDxfId="613">
      <calculatedColumnFormula>('TUSD BE'!$AM$50+'TUSD BF'!$AM$50+'TUSD CVA'!$AM$50)*1</calculatedColumnFormula>
    </tableColumn>
    <tableColumn id="27" xr3:uid="{153D705A-F310-4105-A9E9-3559F12A4662}" name="TE (R$/MWh) NOVA" dataDxfId="612">
      <calculatedColumnFormula>('TE BE'!$AB$40+'TE BF'!$AB$40+'TE CVA'!$AB$40)*1</calculatedColumnFormula>
    </tableColumn>
    <tableColumn id="28" xr3:uid="{CBBDAAE0-7BC2-452A-ADBE-767B52EAC2F1}" name="RA0 ou RV - TUSD (kW)" dataDxfId="611"/>
    <tableColumn id="29" xr3:uid="{CE797B2F-B373-4EBA-9BAE-8D7FE0B6A9F8}" name="RA0 ou RV - TUSD (MWh)" dataDxfId="610"/>
    <tableColumn id="30" xr3:uid="{982190A6-8F25-4BAC-944A-997C058FE66B}" name="RA0 ou RV - TE (MWh)" dataDxfId="609"/>
    <tableColumn id="31" xr3:uid="{4BF2CBE7-E433-4414-B597-1DD00F729315}" name="RA1 ou RRD - TUSD (kW)" dataDxfId="608"/>
    <tableColumn id="32" xr3:uid="{BB2BBD9A-DA20-4357-AACA-F8A6CFC4186F}" name="RA1 ou RRD - TUSD (MWh)" dataDxfId="607"/>
    <tableColumn id="33" xr3:uid="{1C54FE3B-6CAC-404A-A806-01211DC182EC}" name="RA1 ou RRD - TE (MWh)" dataDxfId="6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E3E9F-7244-4969-B0F4-30D57D9C5AA4}" name="Subsidio" displayName="Subsidio" ref="A1:AF202" totalsRowShown="0" headerRowDxfId="605" dataDxfId="604">
  <autoFilter ref="A1:AF202" xr:uid="{318E3E9F-7244-4969-B0F4-30D57D9C5AA4}"/>
  <tableColumns count="32">
    <tableColumn id="1" xr3:uid="{0605BC54-3924-4DC6-8602-645B84F36E9D}" name="TipoMercado" dataDxfId="603"/>
    <tableColumn id="2" xr3:uid="{62648907-FBD9-4DDE-9D50-BBB89F603C1E}" name="Subgrupo" dataDxfId="602"/>
    <tableColumn id="3" xr3:uid="{3D85A36A-FA5C-4A00-9086-8B5F8F5EEE5C}" name="Modalidade" dataDxfId="601"/>
    <tableColumn id="4" xr3:uid="{B060DE98-57C2-4BFB-859E-F83C44D3872D}" name="Classe" dataDxfId="600"/>
    <tableColumn id="5" xr3:uid="{6FBE14CB-353F-464D-8463-B136FF135933}" name="Subclasse" dataDxfId="599"/>
    <tableColumn id="6" xr3:uid="{69734DE5-1EDB-42DE-B998-A2A56885FACA}" name="Detalhe" dataDxfId="598"/>
    <tableColumn id="7" xr3:uid="{473F80FA-724B-49ED-A1F2-A19CF78D069E}" name="Agente" dataDxfId="597"/>
    <tableColumn id="8" xr3:uid="{09F9F109-64D7-4EB1-8EB8-9A8CF7472B11}" name="Posto" dataDxfId="596"/>
    <tableColumn id="9" xr3:uid="{D0E28310-B3F4-400F-9005-5BEFAD28D00A}" name="AnoMes" dataDxfId="595"/>
    <tableColumn id="10" xr3:uid="{0599D771-3B43-48DA-BAF3-A680444235EC}" name="D" dataDxfId="594"/>
    <tableColumn id="11" xr3:uid="{A268C9A1-605A-43C8-B590-39F9C0968408}" name="Daj" dataDxfId="593"/>
    <tableColumn id="12" xr3:uid="{A7DDBEE1-2645-42DD-89A3-E2D7BF953F4A}" name="TUSD_E" dataDxfId="592"/>
    <tableColumn id="13" xr3:uid="{191ED505-340F-4231-AAF4-CACD70C4FAED}" name="TUSD_Eaj" dataDxfId="591"/>
    <tableColumn id="14" xr3:uid="{5BFF15EB-2428-4B51-A57C-DB5979B791A2}" name="TE_E" dataDxfId="590"/>
    <tableColumn id="15" xr3:uid="{3D7BFB08-4A3E-4EC8-BC39-95C4AF44D96D}" name="TE_Eaj" dataDxfId="589"/>
    <tableColumn id="16" xr3:uid="{21A470E6-F1E0-4C8B-A7A6-99800BE4FFE9}" name="UC" dataDxfId="588"/>
    <tableColumn id="17" xr3:uid="{A5DEE3A4-AFD7-4181-A1DD-6E5AAD9CEA28}" name="OPÇÃO" dataDxfId="587"/>
    <tableColumn id="18" xr3:uid="{B0830F5D-3F44-48CB-8522-57882CBDCB6E}" name="CóD. AUX." dataDxfId="586"/>
    <tableColumn id="19" xr3:uid="{783FD1FF-699E-48CB-B63F-0B6712F77327}" name="CóD. AUX. TUSD R$/kW" dataDxfId="585"/>
    <tableColumn id="20" xr3:uid="{51DA1E18-4E35-4BD2-A121-8ED7F27CBB86}" name="CóD. AUX. TUSD R$/MWh" dataDxfId="584"/>
    <tableColumn id="21" xr3:uid="{A39DDFC7-B4AB-40F7-8AB5-901BF8CDF6F4}" name="CóD. AUX. TE R$/MWh" dataDxfId="583"/>
    <tableColumn id="22" xr3:uid="{71C64C76-607B-4104-B590-0DA8B075AE3E}" name="TUSD (R$/kW)" dataDxfId="582"/>
    <tableColumn id="23" xr3:uid="{3FC3C962-DBD5-4C0C-8BA7-15E27C652841}" name="TUSD (R$/MWh)" dataDxfId="581"/>
    <tableColumn id="24" xr3:uid="{6F26EC89-5E93-41DF-911B-EAE57A9E28D6}" name="TE (R$/MWh)" dataDxfId="580"/>
    <tableColumn id="25" xr3:uid="{EB027403-4E88-4D99-BB6A-F44601A7968C}" name="TUSD (R$/kW) NOVA" dataDxfId="579"/>
    <tableColumn id="26" xr3:uid="{3E32BB87-7DB7-477D-A0DE-C9D5D7252659}" name="TUSD (R$/MWh) NOVA" dataDxfId="578">
      <calculatedColumnFormula>('TUSD BE'!$AM$48+'TUSD BF'!$AM$48+'TUSD CVA'!$AM$48)*1</calculatedColumnFormula>
    </tableColumn>
    <tableColumn id="27" xr3:uid="{D74E1775-2E3A-448A-A9A6-C7DF5B41E3DE}" name="TE (R$/MWh) NOVA" dataDxfId="577">
      <calculatedColumnFormula>('TE BE'!$AB$38+'TE BF'!$AB$38+'TE CVA'!$AB$38)*1</calculatedColumnFormula>
    </tableColumn>
    <tableColumn id="28" xr3:uid="{6261F71D-24D3-4E21-9432-0F0A49901EB1}" name="SUBSIDIO kW - TV" dataDxfId="576">
      <calculatedColumnFormula>(J2-K2)*V2</calculatedColumnFormula>
    </tableColumn>
    <tableColumn id="29" xr3:uid="{19199FC6-E1DD-49E0-A574-1AE2250B1075}" name="SUBSIDIO MWh - TV" dataDxfId="575">
      <calculatedColumnFormula>(L2-M2)*W2+(N2-O2)*X2</calculatedColumnFormula>
    </tableColumn>
    <tableColumn id="30" xr3:uid="{F30E325A-6E62-4AB1-AB47-8AC439DD6216}" name="SUBSIDIO kW - TN" dataDxfId="574">
      <calculatedColumnFormula>(J2-K2)*Y2</calculatedColumnFormula>
    </tableColumn>
    <tableColumn id="31" xr3:uid="{B27CD326-0552-4E86-8649-AAD23D5473E9}" name="SUBSIDIO MWh - TN" dataDxfId="573">
      <calculatedColumnFormula>(L2-M2)*Z2+(N2-O2)*AA2</calculatedColumnFormula>
    </tableColumn>
    <tableColumn id="32" xr3:uid="{EE5874B4-F566-496A-8D3A-94B7565D19F2}" name="TIPO" dataDxfId="5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E8C064-E2AF-4637-ABB6-F3DA2EAA700C}" name="TabelaFin" displayName="TabelaFin" ref="B3:AT49" tableType="queryTable" totalsRowShown="0" headerRowDxfId="101" dataDxfId="100" headerRowBorderDxfId="148" tableBorderDxfId="149" totalsRowBorderDxfId="147">
  <autoFilter ref="B3:AT49" xr:uid="{EFE8C064-E2AF-4637-ABB6-F3DA2EAA700C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F6E93B3A-9C5B-4170-BEF8-DBE0045F9E4E}" uniqueName="46" name="SUBGRUPO" queryTableFieldId="1" dataDxfId="146"/>
    <tableColumn id="47" xr3:uid="{A9CF83C5-F27D-4981-B66D-E332FDC8E229}" uniqueName="47" name="MODALIDADE" queryTableFieldId="2" dataDxfId="145"/>
    <tableColumn id="48" xr3:uid="{4322755C-AEC4-4D44-A48C-B2767D515DFD}" uniqueName="48" name="CLASSE" queryTableFieldId="3" dataDxfId="144"/>
    <tableColumn id="49" xr3:uid="{F871DD3C-2E36-4C48-8BF7-7D1E10047708}" uniqueName="49" name="SUBCLASSE" queryTableFieldId="4" dataDxfId="143"/>
    <tableColumn id="50" xr3:uid="{82CB136A-A449-4107-8C11-AF34A5D6B489}" uniqueName="50" name="DETALHE" queryTableFieldId="5" dataDxfId="142"/>
    <tableColumn id="51" xr3:uid="{4522F49A-BD2C-4604-A4B4-CD1E4805A14E}" uniqueName="51" name="POSTO" queryTableFieldId="6" dataDxfId="141"/>
    <tableColumn id="52" xr3:uid="{0E4095D3-7ED1-4B78-A654-7047E2E9A660}" uniqueName="52" name="UNIDADE" queryTableFieldId="7" dataDxfId="140"/>
    <tableColumn id="53" xr3:uid="{4BB5EDB8-3F93-4E49-850B-4850CEACD055}" uniqueName="53" name="ACESSANTE" queryTableFieldId="8" dataDxfId="139"/>
    <tableColumn id="54" xr3:uid="{AB2E5F6F-3446-43B9-AC0A-483153E4198D}" uniqueName="54" name="Total TUSD" queryTableFieldId="9" dataDxfId="138"/>
    <tableColumn id="55" xr3:uid="{9CB18B49-4407-465D-8B93-663A20DAA472}" uniqueName="55" name="Total TE" queryTableFieldId="10" dataDxfId="137"/>
    <tableColumn id="56" xr3:uid="{97647A7F-FF11-4C1D-B573-3617ED42B2D6}" uniqueName="56" name="TUSD_CDE_COVID" queryTableFieldId="11" dataDxfId="136"/>
    <tableColumn id="57" xr3:uid="{C277F19A-841E-48DA-9C8E-ABA0C7B840E6}" uniqueName="57" name="TUSD_TFSEE" queryTableFieldId="12" dataDxfId="135"/>
    <tableColumn id="58" xr3:uid="{C258BBA6-BAF5-4FA4-981A-AF0FE2669682}" uniqueName="58" name="TUSD_PeD" queryTableFieldId="13" dataDxfId="134"/>
    <tableColumn id="59" xr3:uid="{86529541-1CCB-478D-8BDA-B0D964E8B541}" uniqueName="59" name="TUSD_ONS" queryTableFieldId="14" dataDxfId="133"/>
    <tableColumn id="60" xr3:uid="{B09A3602-790F-4114-867F-6FBF4417A928}" uniqueName="60" name="TUSD_CCC" queryTableFieldId="15" dataDxfId="132"/>
    <tableColumn id="61" xr3:uid="{CD2E8D96-38CC-4C5C-B05D-79B64B66231D}" uniqueName="61" name="TUSD_CDE" queryTableFieldId="16" dataDxfId="131"/>
    <tableColumn id="62" xr3:uid="{2D77CEE2-D019-4E6D-992F-8BD154C02C81}" uniqueName="62" name="TUSD_PROINFA" queryTableFieldId="17" dataDxfId="130"/>
    <tableColumn id="63" xr3:uid="{62265D87-5D93-44FE-BF3C-F58990109C3C}" uniqueName="63" name="Liminar1" queryTableFieldId="18" dataDxfId="129"/>
    <tableColumn id="64" xr3:uid="{5E3F3817-7933-45AE-90EF-37CD47F20C52}" uniqueName="64" name="TUSD_RB" queryTableFieldId="19" dataDxfId="128"/>
    <tableColumn id="65" xr3:uid="{61F49E94-8B32-4FB7-B055-67CDC0647581}" uniqueName="65" name="TUSD_FR" queryTableFieldId="20" dataDxfId="127"/>
    <tableColumn id="66" xr3:uid="{50AE771E-D0FC-4655-BD4A-AD2EC5C5C9AE}" uniqueName="66" name="TUSD_CCT" queryTableFieldId="21" dataDxfId="126"/>
    <tableColumn id="67" xr3:uid="{AB977DCE-B63B-4ED3-BA27-77071906951F}" uniqueName="67" name="TUSD_CCD" queryTableFieldId="22" dataDxfId="125"/>
    <tableColumn id="68" xr3:uid="{04708121-40CC-4773-8FFC-5B34952553EE}" uniqueName="68" name="TUSD_CUSD" queryTableFieldId="23" dataDxfId="124"/>
    <tableColumn id="69" xr3:uid="{C96F421A-CCFE-4274-9B49-EF0020C37963}" uniqueName="69" name="TUSDG_T" queryTableFieldId="24" dataDxfId="123"/>
    <tableColumn id="70" xr3:uid="{A3C11209-1141-4D6A-9659-970BB5397737}" uniqueName="70" name="TUSDG_ONS" queryTableFieldId="25" dataDxfId="122"/>
    <tableColumn id="71" xr3:uid="{4F241426-F940-496E-838C-3BAE408EC8D5}" uniqueName="71" name="TUSD_FioB" queryTableFieldId="26" dataDxfId="121"/>
    <tableColumn id="72" xr3:uid="{83B7CF11-5238-4675-ABA1-EEF7FDE4F20E}" uniqueName="72" name="TUSD Subsidio" queryTableFieldId="27" dataDxfId="120"/>
    <tableColumn id="73" xr3:uid="{989C9751-FD6D-4E3A-9C48-6DF8E0531D6B}" uniqueName="73" name="TUSD BENEFICIO_L14299" queryTableFieldId="28" dataDxfId="119"/>
    <tableColumn id="74" xr3:uid="{D9B39D20-5822-4C94-9A47-2468A95C5815}" uniqueName="74" name="TUSD Outros" queryTableFieldId="29" dataDxfId="118"/>
    <tableColumn id="75" xr3:uid="{9DAB5013-C132-4B29-9954-E51D8CC44878}" uniqueName="75" name="TUSD_PT" queryTableFieldId="30" dataDxfId="117"/>
    <tableColumn id="76" xr3:uid="{4FC7CBB2-F336-4DBC-9A01-4A2FC2B1472C}" uniqueName="76" name="TUSD_Per_RB_D" queryTableFieldId="31" dataDxfId="116"/>
    <tableColumn id="77" xr3:uid="{CECC8676-8C96-4CAE-86F3-0A78D032CC3B}" uniqueName="77" name="TUSD_PNT" queryTableFieldId="32" dataDxfId="115"/>
    <tableColumn id="78" xr3:uid="{A76FD7AE-D619-4BFB-8508-897B1B224EA2}" uniqueName="78" name="TUSD_RI" queryTableFieldId="33" dataDxfId="114"/>
    <tableColumn id="79" xr3:uid="{FB1AB4E0-35EC-4A9C-8618-B19E41CAA6EF}" uniqueName="79" name="TE_CDE_COVID" queryTableFieldId="34" dataDxfId="113"/>
    <tableColumn id="80" xr3:uid="{9FCD90F2-E6AE-40F8-9241-35F970351124}" uniqueName="80" name="TE_CDE_ELET" queryTableFieldId="35" dataDxfId="112"/>
    <tableColumn id="81" xr3:uid="{C0FE28CF-D208-4F0C-BC6E-58C8991512BD}" uniqueName="81" name="TE_PeD" queryTableFieldId="36" dataDxfId="111"/>
    <tableColumn id="82" xr3:uid="{91C23D8E-1300-421A-9D64-0D359FA67D0F}" uniqueName="82" name="TE_ESSERR" queryTableFieldId="37" dataDxfId="110"/>
    <tableColumn id="83" xr3:uid="{2C6E5904-02E5-4734-AD6D-1E1B1A14604C}" uniqueName="83" name="TE_CFURH" queryTableFieldId="38" dataDxfId="109"/>
    <tableColumn id="84" xr3:uid="{0C73346C-1F03-4805-9749-1F4DC02A8AB4}" uniqueName="84" name="TE_ENERGIA" queryTableFieldId="39" dataDxfId="108"/>
    <tableColumn id="85" xr3:uid="{972E1E90-743F-481B-8587-D64023FEF424}" uniqueName="85" name="TE_TRANSPORTE_ITAIPU" queryTableFieldId="40" dataDxfId="107"/>
    <tableColumn id="86" xr3:uid="{A89649CA-EC5A-4AA4-820D-C425954E8802}" uniqueName="86" name="TE_TUST_ITAIPU" queryTableFieldId="41" dataDxfId="106"/>
    <tableColumn id="87" xr3:uid="{8D6509CA-1424-4404-A240-232E9E97E80B}" uniqueName="87" name="TE_TUST_CI" queryTableFieldId="42" dataDxfId="105"/>
    <tableColumn id="88" xr3:uid="{30A21760-1ED8-4BDA-8C19-511C6F3A1C64}" uniqueName="88" name="TE Subsidio" queryTableFieldId="43" dataDxfId="104"/>
    <tableColumn id="89" xr3:uid="{D9366F03-2242-442D-8ADE-D8BB2C915CD6}" uniqueName="89" name="TE BENEFICIO_L14299" queryTableFieldId="44" dataDxfId="103"/>
    <tableColumn id="90" xr3:uid="{07DBC952-461D-4691-9611-12A9A9DE519F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7D19A-35C2-4DDA-9435-DAE8BE4FF141}" name="TabelaEc" displayName="TabelaEc" ref="B3:AT49" tableType="queryTable" totalsRowShown="0" headerRowDxfId="51" dataDxfId="50" headerRowBorderDxfId="98" tableBorderDxfId="99" totalsRowBorderDxfId="97">
  <autoFilter ref="B3:AT49" xr:uid="{AAF7D19A-35C2-4DDA-9435-DAE8BE4FF14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EDBFF15C-371D-4F9F-95EF-2BECAFAD65D2}" uniqueName="46" name="SUBGRUPO" queryTableFieldId="1" dataDxfId="96"/>
    <tableColumn id="47" xr3:uid="{01F48AC5-D997-447A-B174-5BFE924A091C}" uniqueName="47" name="MODALIDADE" queryTableFieldId="2" dataDxfId="95"/>
    <tableColumn id="48" xr3:uid="{85E3B3AA-DF61-42C3-8EFF-3C21A4A4B89A}" uniqueName="48" name="CLASSE" queryTableFieldId="3" dataDxfId="94"/>
    <tableColumn id="49" xr3:uid="{006268A7-971F-4AA6-9171-EC7C6B380AA3}" uniqueName="49" name="SUBCLASSE" queryTableFieldId="4" dataDxfId="93"/>
    <tableColumn id="50" xr3:uid="{050EDD27-414E-4B28-AD34-57C037058628}" uniqueName="50" name="DETALHE" queryTableFieldId="5" dataDxfId="92"/>
    <tableColumn id="51" xr3:uid="{699A0CF5-5F82-445D-AD83-908E9C1768C9}" uniqueName="51" name="POSTO" queryTableFieldId="6" dataDxfId="91"/>
    <tableColumn id="52" xr3:uid="{E6FD8E90-DED6-460E-9E1B-FA428922709F}" uniqueName="52" name="UNIDADE" queryTableFieldId="7" dataDxfId="90"/>
    <tableColumn id="53" xr3:uid="{AA836247-322A-48C4-91F7-C86A103B445A}" uniqueName="53" name="ACESSANTE" queryTableFieldId="8" dataDxfId="89"/>
    <tableColumn id="54" xr3:uid="{443C90B0-F0D8-4DA0-88C0-180F389F0956}" uniqueName="54" name="Total TUSD" queryTableFieldId="9" dataDxfId="88"/>
    <tableColumn id="55" xr3:uid="{E3BCA646-F1DB-408C-BCD6-1E135D16851A}" uniqueName="55" name="Total TE" queryTableFieldId="10" dataDxfId="87"/>
    <tableColumn id="56" xr3:uid="{B25EF4B5-A702-4D4B-A579-E51903740DA5}" uniqueName="56" name="TUSD_CDE_COVID" queryTableFieldId="11" dataDxfId="86"/>
    <tableColumn id="57" xr3:uid="{7D331A87-2DBA-4CD3-A61E-3D06C0D86C65}" uniqueName="57" name="TUSD_TFSEE" queryTableFieldId="12" dataDxfId="85"/>
    <tableColumn id="58" xr3:uid="{8D0EC2BB-A657-41A4-85B6-CB5915C66869}" uniqueName="58" name="TUSD_PeD" queryTableFieldId="13" dataDxfId="84"/>
    <tableColumn id="59" xr3:uid="{4A2647B0-9754-4B58-8866-3C40A1EA3FC3}" uniqueName="59" name="TUSD_ONS" queryTableFieldId="14" dataDxfId="83"/>
    <tableColumn id="60" xr3:uid="{AF9B6DDB-941E-43A9-9A84-387921E90B62}" uniqueName="60" name="TUSD_CCC" queryTableFieldId="15" dataDxfId="82"/>
    <tableColumn id="61" xr3:uid="{C3A83659-A8BB-4D3E-B081-1BF59B2B1154}" uniqueName="61" name="TUSD_CDE" queryTableFieldId="16" dataDxfId="81"/>
    <tableColumn id="62" xr3:uid="{FB4F3C06-60B9-4114-B13D-2F0D2CB487E8}" uniqueName="62" name="TUSD_PROINFA" queryTableFieldId="17" dataDxfId="80"/>
    <tableColumn id="63" xr3:uid="{6A6EF177-F859-4029-9DE0-5FEA41DC29AC}" uniqueName="63" name="Liminar1" queryTableFieldId="18" dataDxfId="79"/>
    <tableColumn id="64" xr3:uid="{CD876656-93DD-489D-B036-80716E18B9D1}" uniqueName="64" name="TUSD_RB" queryTableFieldId="19" dataDxfId="78"/>
    <tableColumn id="65" xr3:uid="{F47BB388-CB87-483F-87EA-BC84EB2E300A}" uniqueName="65" name="TUSD_FR" queryTableFieldId="20" dataDxfId="77"/>
    <tableColumn id="66" xr3:uid="{D7214422-334F-4920-9DCB-590019A6F3B4}" uniqueName="66" name="TUSD_CCT" queryTableFieldId="21" dataDxfId="76"/>
    <tableColumn id="67" xr3:uid="{6EE6A702-09C2-4AE2-972E-75079FCC6D1A}" uniqueName="67" name="TUSD_CCD" queryTableFieldId="22" dataDxfId="75"/>
    <tableColumn id="68" xr3:uid="{6B2A24B9-B7E1-4CC5-8275-A0056F5D2F70}" uniqueName="68" name="TUSD_CUSD" queryTableFieldId="23" dataDxfId="74"/>
    <tableColumn id="69" xr3:uid="{CF5A1F92-DA7E-4D18-BF58-4BAFF81FFC11}" uniqueName="69" name="TUSDG_T" queryTableFieldId="24" dataDxfId="73"/>
    <tableColumn id="70" xr3:uid="{A22872D3-6A48-4B5A-AB7B-8CDA02B586D8}" uniqueName="70" name="TUSDG_ONS" queryTableFieldId="25" dataDxfId="72"/>
    <tableColumn id="71" xr3:uid="{3655F5A0-E7F7-4AE6-B60C-D49AEBDDD303}" uniqueName="71" name="TUSD_FioB" queryTableFieldId="26" dataDxfId="71"/>
    <tableColumn id="72" xr3:uid="{6E880679-4728-4C5A-8753-98E2BBBD2288}" uniqueName="72" name="TUSD Subsidio" queryTableFieldId="27" dataDxfId="70"/>
    <tableColumn id="73" xr3:uid="{C38406A9-2082-43A4-A068-9C590CA8EA58}" uniqueName="73" name="TUSD BENEFICIO_L14299" queryTableFieldId="28" dataDxfId="69"/>
    <tableColumn id="74" xr3:uid="{1B82D658-A0F0-45F1-8AF6-3E4510C8796D}" uniqueName="74" name="TUSD Outros" queryTableFieldId="29" dataDxfId="68"/>
    <tableColumn id="75" xr3:uid="{8BBE0E96-8C65-42A3-9756-4B6779449314}" uniqueName="75" name="TUSD_PT" queryTableFieldId="30" dataDxfId="67"/>
    <tableColumn id="76" xr3:uid="{DD4C01C5-9C35-4976-BB28-5175FDFE5A11}" uniqueName="76" name="TUSD_Per_RB_D" queryTableFieldId="31" dataDxfId="66"/>
    <tableColumn id="77" xr3:uid="{F95E1629-FE6A-4879-ACA2-E7A3A4A41F62}" uniqueName="77" name="TUSD_PNT" queryTableFieldId="32" dataDxfId="65"/>
    <tableColumn id="78" xr3:uid="{E7A091EB-1BF9-460A-A4F3-A035A21D5FD8}" uniqueName="78" name="TUSD_RI" queryTableFieldId="33" dataDxfId="64"/>
    <tableColumn id="79" xr3:uid="{5D374BCF-2C95-4A74-B4B7-BADD3DD917EC}" uniqueName="79" name="TE_CDE_COVID" queryTableFieldId="34" dataDxfId="63"/>
    <tableColumn id="80" xr3:uid="{39F0B388-1D58-4027-9304-8257456606E5}" uniqueName="80" name="TE_CDE_ELET" queryTableFieldId="35" dataDxfId="62"/>
    <tableColumn id="81" xr3:uid="{F0FC4AEC-25D7-47B6-BBD3-F06276145F52}" uniqueName="81" name="TE_PeD" queryTableFieldId="36" dataDxfId="61"/>
    <tableColumn id="82" xr3:uid="{934FC107-F621-4C1F-84DB-74DC089DED48}" uniqueName="82" name="TE_ESSERR" queryTableFieldId="37" dataDxfId="60"/>
    <tableColumn id="83" xr3:uid="{31D4673B-2B3A-4FD5-8A47-D4810796E110}" uniqueName="83" name="TE_CFURH" queryTableFieldId="38" dataDxfId="59"/>
    <tableColumn id="84" xr3:uid="{5108A029-8F2E-402F-A457-F6EEEE5BC6AB}" uniqueName="84" name="TE_ENERGIA" queryTableFieldId="39" dataDxfId="58"/>
    <tableColumn id="85" xr3:uid="{A34BF572-EDB3-41B4-A111-B8A285C87125}" uniqueName="85" name="TE_TRANSPORTE_ITAIPU" queryTableFieldId="40" dataDxfId="57"/>
    <tableColumn id="86" xr3:uid="{2A899B4E-CA15-4C09-A0D1-53FDA813648F}" uniqueName="86" name="TE_TUST_ITAIPU" queryTableFieldId="41" dataDxfId="56"/>
    <tableColumn id="87" xr3:uid="{A49D0D59-0C8F-4B7D-8B40-66D0B2830796}" uniqueName="87" name="TE_TUST_CI" queryTableFieldId="42" dataDxfId="55"/>
    <tableColumn id="88" xr3:uid="{49E1A2F5-0D16-4ADB-B5A7-5FB66F6D8572}" uniqueName="88" name="TE Subsidio" queryTableFieldId="43" dataDxfId="54"/>
    <tableColumn id="89" xr3:uid="{DCD708DD-50DD-4AFF-BC2B-41866D07BB29}" uniqueName="89" name="TE BENEFICIO_L14299" queryTableFieldId="44" dataDxfId="53"/>
    <tableColumn id="90" xr3:uid="{33F29BFC-4ACF-4251-BF48-64798547FF37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92F8B5-1ED3-408F-8930-A42E082CB4AE}" name="TabelaCVA" displayName="TabelaCVA" ref="B3:AT49" tableType="queryTable" totalsRowShown="0" headerRowDxfId="1" dataDxfId="0" headerRowBorderDxfId="48" tableBorderDxfId="49" totalsRowBorderDxfId="47">
  <autoFilter ref="B3:AT49" xr:uid="{BB92F8B5-1ED3-408F-8930-A42E082CB4A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4401AA4-2A3C-4A9F-831C-98FF8B9CE806}" uniqueName="46" name="SUBGRUPO" queryTableFieldId="1" dataDxfId="46"/>
    <tableColumn id="47" xr3:uid="{4FE01C94-2C05-42A9-B51F-6D798BE4BBF0}" uniqueName="47" name="MODALIDADE" queryTableFieldId="2" dataDxfId="45"/>
    <tableColumn id="48" xr3:uid="{B4C0E5C2-CFF1-4E1A-B060-C762BC54277D}" uniqueName="48" name="CLASSE" queryTableFieldId="3" dataDxfId="44"/>
    <tableColumn id="49" xr3:uid="{425E6B90-012D-4271-9DA1-F42F35F80F47}" uniqueName="49" name="SUBCLASSE" queryTableFieldId="4" dataDxfId="43"/>
    <tableColumn id="50" xr3:uid="{461A5620-5CDD-45BD-86ED-90926DAF8AB2}" uniqueName="50" name="DETALHE" queryTableFieldId="5" dataDxfId="42"/>
    <tableColumn id="51" xr3:uid="{81AD2F3D-C302-4AEA-AB02-0B24CE0658FB}" uniqueName="51" name="POSTO" queryTableFieldId="6" dataDxfId="41"/>
    <tableColumn id="52" xr3:uid="{08DA7D31-A5D2-4902-A10D-14F73839D305}" uniqueName="52" name="UNIDADE" queryTableFieldId="7" dataDxfId="40"/>
    <tableColumn id="53" xr3:uid="{0E7DFE2E-AF31-42F3-B91E-337E1DD79888}" uniqueName="53" name="ACESSANTE" queryTableFieldId="8" dataDxfId="39"/>
    <tableColumn id="54" xr3:uid="{20EE81E0-7BE9-483D-A353-3E9A1E550E91}" uniqueName="54" name="Total TUSD" queryTableFieldId="9" dataDxfId="38"/>
    <tableColumn id="55" xr3:uid="{B6E6D335-E27E-4497-AD77-1FC7AD249C21}" uniqueName="55" name="Total TE" queryTableFieldId="10" dataDxfId="37"/>
    <tableColumn id="56" xr3:uid="{D2A64A82-3381-4429-9DFD-09B6E37D26E8}" uniqueName="56" name="TUSD_CDE_COVID" queryTableFieldId="11" dataDxfId="36"/>
    <tableColumn id="57" xr3:uid="{7141BE3C-D367-4D9D-BFE1-CF6FBFDBC66A}" uniqueName="57" name="TUSD_TFSEE" queryTableFieldId="12" dataDxfId="35"/>
    <tableColumn id="58" xr3:uid="{BD1BCB86-F293-4C1D-969F-48956472B802}" uniqueName="58" name="TUSD_PeD" queryTableFieldId="13" dataDxfId="34"/>
    <tableColumn id="59" xr3:uid="{26B50BB1-B540-4B41-9472-F15783722B5A}" uniqueName="59" name="TUSD_ONS" queryTableFieldId="14" dataDxfId="33"/>
    <tableColumn id="60" xr3:uid="{863B46B6-38BF-4754-980E-33DB7AD5D5A0}" uniqueName="60" name="TUSD_CCC" queryTableFieldId="15" dataDxfId="32"/>
    <tableColumn id="61" xr3:uid="{8CF6E331-CAFF-4063-8F4A-8A921E069EE8}" uniqueName="61" name="TUSD_CDE" queryTableFieldId="16" dataDxfId="31"/>
    <tableColumn id="62" xr3:uid="{6EDE4B63-8646-4BB0-ADFE-FE0ECD9B165D}" uniqueName="62" name="TUSD_PROINFA" queryTableFieldId="17" dataDxfId="30"/>
    <tableColumn id="63" xr3:uid="{3188005D-4935-4605-AD1F-967E10D8C222}" uniqueName="63" name="Liminar1" queryTableFieldId="18" dataDxfId="29"/>
    <tableColumn id="64" xr3:uid="{61A15D5B-17D2-4EDC-8EBB-0B316BCE2486}" uniqueName="64" name="TUSD_RB" queryTableFieldId="19" dataDxfId="28"/>
    <tableColumn id="65" xr3:uid="{9EAD3828-51B1-4647-B00A-B25EC02829B6}" uniqueName="65" name="TUSD_FR" queryTableFieldId="20" dataDxfId="27"/>
    <tableColumn id="66" xr3:uid="{B5CFA72B-E335-49C1-92B6-0577D7A506A0}" uniqueName="66" name="TUSD_CCT" queryTableFieldId="21" dataDxfId="26"/>
    <tableColumn id="67" xr3:uid="{BC4F28C5-99B6-4A5C-9946-64E854A2124B}" uniqueName="67" name="TUSD_CCD" queryTableFieldId="22" dataDxfId="25"/>
    <tableColumn id="68" xr3:uid="{3600D199-AF46-4A22-A0B3-FBA9DF602CD7}" uniqueName="68" name="TUSD_CUSD" queryTableFieldId="23" dataDxfId="24"/>
    <tableColumn id="69" xr3:uid="{B455D752-4229-475D-9C4A-E4B62D406395}" uniqueName="69" name="TUSDG_T" queryTableFieldId="24" dataDxfId="23"/>
    <tableColumn id="70" xr3:uid="{E5D10045-2C26-4C15-8E70-744C49E86DBF}" uniqueName="70" name="TUSDG_ONS" queryTableFieldId="25" dataDxfId="22"/>
    <tableColumn id="71" xr3:uid="{63EE279D-6068-4472-A4A2-24C5A982A97C}" uniqueName="71" name="TUSD_FioB" queryTableFieldId="26" dataDxfId="21"/>
    <tableColumn id="72" xr3:uid="{C2AA6764-43C0-4C7D-AEF5-3EF3DF5A00FA}" uniqueName="72" name="TUSD Subsidio" queryTableFieldId="27" dataDxfId="20"/>
    <tableColumn id="73" xr3:uid="{F2CBC579-2CF6-4F2A-B9BC-D91BF76C0260}" uniqueName="73" name="TUSD BENEFICIO_L14299" queryTableFieldId="28" dataDxfId="19"/>
    <tableColumn id="74" xr3:uid="{FDAD30D9-A934-41D9-8F2F-16989004EA85}" uniqueName="74" name="TUSD Outros" queryTableFieldId="29" dataDxfId="18"/>
    <tableColumn id="75" xr3:uid="{9473ADEC-AFC0-49BF-B9C4-290C19A4B886}" uniqueName="75" name="TUSD_PT" queryTableFieldId="30" dataDxfId="17"/>
    <tableColumn id="76" xr3:uid="{5096506E-E1A3-4C24-9A05-A73E1B68878D}" uniqueName="76" name="TUSD_Per_RB_D" queryTableFieldId="31" dataDxfId="16"/>
    <tableColumn id="77" xr3:uid="{A72707E2-B034-4BFB-99F7-CA7FC09CDA44}" uniqueName="77" name="TUSD_PNT" queryTableFieldId="32" dataDxfId="15"/>
    <tableColumn id="78" xr3:uid="{B80481FE-E93B-4CC6-A558-88BEDCE2D2B8}" uniqueName="78" name="TUSD_RI" queryTableFieldId="33" dataDxfId="14"/>
    <tableColumn id="79" xr3:uid="{6A4FAE6D-4268-487A-A3BD-3EDC39905C4F}" uniqueName="79" name="TE_CDE_COVID" queryTableFieldId="34" dataDxfId="13"/>
    <tableColumn id="80" xr3:uid="{77EE5813-0F29-4F50-AAAB-18F23B9B3CA1}" uniqueName="80" name="TE_CDE_ELET" queryTableFieldId="35" dataDxfId="12"/>
    <tableColumn id="81" xr3:uid="{48C01375-70D2-45BA-BBE2-D373782B3F9E}" uniqueName="81" name="TE_PeD" queryTableFieldId="36" dataDxfId="11"/>
    <tableColumn id="82" xr3:uid="{192AB206-2487-4FA3-8998-A2043A06BF27}" uniqueName="82" name="TE_ESSERR" queryTableFieldId="37" dataDxfId="10"/>
    <tableColumn id="83" xr3:uid="{3422CBB9-12EB-4E7E-A510-D4EE1F8F261C}" uniqueName="83" name="TE_CFURH" queryTableFieldId="38" dataDxfId="9"/>
    <tableColumn id="84" xr3:uid="{CEC1F5FA-A3C6-4B84-A436-E0410F0B16D9}" uniqueName="84" name="TE_ENERGIA" queryTableFieldId="39" dataDxfId="8"/>
    <tableColumn id="85" xr3:uid="{FC54F565-061B-472E-A721-104C1F714959}" uniqueName="85" name="TE_TRANSPORTE_ITAIPU" queryTableFieldId="40" dataDxfId="7"/>
    <tableColumn id="86" xr3:uid="{38294F41-D6F3-4451-8FF8-262FDD0F69E2}" uniqueName="86" name="TE_TUST_ITAIPU" queryTableFieldId="41" dataDxfId="6"/>
    <tableColumn id="87" xr3:uid="{1ED10441-63AA-4519-A60C-D49893E1B13D}" uniqueName="87" name="TE_TUST_CI" queryTableFieldId="42" dataDxfId="5"/>
    <tableColumn id="88" xr3:uid="{D82CB3AB-F38B-4C2A-845E-07AFD3DFCF75}" uniqueName="88" name="TE Subsidio" queryTableFieldId="43" dataDxfId="4"/>
    <tableColumn id="89" xr3:uid="{CC347E78-CE6A-42DF-8638-85A789EF4054}" uniqueName="89" name="TE BENEFICIO_L14299" queryTableFieldId="44" dataDxfId="3"/>
    <tableColumn id="90" xr3:uid="{C12A3C65-9B35-4A76-92D7-CE9980177152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DD30-B742-4EAC-89C7-0A91063C1904}">
  <dimension ref="A1:W548"/>
  <sheetViews>
    <sheetView showGridLines="0" topLeftCell="Q533" workbookViewId="0">
      <selection activeCell="T549" sqref="T549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1" width="7.85546875" style="4" bestFit="1" customWidth="1"/>
    <col min="12" max="12" width="7" style="4" bestFit="1" customWidth="1"/>
    <col min="13" max="13" width="8" style="4" bestFit="1" customWidth="1"/>
    <col min="14" max="15" width="7" style="4" bestFit="1" customWidth="1"/>
    <col min="16" max="16" width="7.85546875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91</v>
      </c>
      <c r="T1" s="1" t="s">
        <v>284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3256</v>
      </c>
      <c r="K2" s="4">
        <v>3256</v>
      </c>
      <c r="L2" s="4">
        <v>1435.625</v>
      </c>
      <c r="M2" s="4">
        <v>1435.625</v>
      </c>
      <c r="N2" s="4">
        <v>1435.625</v>
      </c>
      <c r="O2" s="4">
        <v>1435.625</v>
      </c>
      <c r="P2" s="4">
        <v>0</v>
      </c>
      <c r="Q2" s="3" t="s">
        <v>26</v>
      </c>
      <c r="R2" s="3">
        <v>0</v>
      </c>
      <c r="S2" s="3" t="s">
        <v>92</v>
      </c>
      <c r="T2" s="3" t="s">
        <v>285</v>
      </c>
      <c r="U2" s="3">
        <v>28</v>
      </c>
      <c r="V2" s="3">
        <v>29</v>
      </c>
      <c r="W2" s="3">
        <v>61</v>
      </c>
    </row>
    <row r="3" spans="1:23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3485</v>
      </c>
      <c r="K3" s="4">
        <v>3485</v>
      </c>
      <c r="L3" s="4">
        <v>1528.7159999999999</v>
      </c>
      <c r="M3" s="4">
        <v>1528.7159999999999</v>
      </c>
      <c r="N3" s="4">
        <v>1528.7159999999999</v>
      </c>
      <c r="O3" s="4">
        <v>1528.7159999999999</v>
      </c>
      <c r="P3" s="4">
        <v>0</v>
      </c>
      <c r="Q3" s="3" t="s">
        <v>26</v>
      </c>
      <c r="R3" s="3">
        <v>0</v>
      </c>
      <c r="S3" s="3" t="s">
        <v>93</v>
      </c>
      <c r="T3" s="3" t="s">
        <v>286</v>
      </c>
      <c r="U3" s="3">
        <v>28</v>
      </c>
      <c r="V3" s="3">
        <v>29</v>
      </c>
      <c r="W3" s="3">
        <v>61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3686</v>
      </c>
      <c r="K4" s="4">
        <v>3686</v>
      </c>
      <c r="L4" s="4">
        <v>1584.982</v>
      </c>
      <c r="M4" s="4">
        <v>1584.982</v>
      </c>
      <c r="N4" s="4">
        <v>1584.982</v>
      </c>
      <c r="O4" s="4">
        <v>1584.982</v>
      </c>
      <c r="P4" s="4">
        <v>0</v>
      </c>
      <c r="Q4" s="3" t="s">
        <v>26</v>
      </c>
      <c r="R4" s="3">
        <v>0</v>
      </c>
      <c r="S4" s="3" t="s">
        <v>94</v>
      </c>
      <c r="T4" s="3" t="s">
        <v>287</v>
      </c>
      <c r="U4" s="3">
        <v>28</v>
      </c>
      <c r="V4" s="3">
        <v>29</v>
      </c>
      <c r="W4" s="3">
        <v>61</v>
      </c>
    </row>
    <row r="5" spans="1:23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3685</v>
      </c>
      <c r="K5" s="4">
        <v>3685</v>
      </c>
      <c r="L5" s="4">
        <v>1325.4169999999999</v>
      </c>
      <c r="M5" s="4">
        <v>1325.4169999999999</v>
      </c>
      <c r="N5" s="4">
        <v>1325.4169999999999</v>
      </c>
      <c r="O5" s="4">
        <v>1325.4169999999999</v>
      </c>
      <c r="P5" s="4">
        <v>0</v>
      </c>
      <c r="Q5" s="3" t="s">
        <v>26</v>
      </c>
      <c r="R5" s="3">
        <v>0</v>
      </c>
      <c r="S5" s="3" t="s">
        <v>95</v>
      </c>
      <c r="T5" s="3" t="s">
        <v>288</v>
      </c>
      <c r="U5" s="3">
        <v>28</v>
      </c>
      <c r="V5" s="3">
        <v>29</v>
      </c>
      <c r="W5" s="3">
        <v>61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3450</v>
      </c>
      <c r="K6" s="4">
        <v>3450</v>
      </c>
      <c r="L6" s="4">
        <v>1291.193</v>
      </c>
      <c r="M6" s="4">
        <v>1291.193</v>
      </c>
      <c r="N6" s="4">
        <v>1291.193</v>
      </c>
      <c r="O6" s="4">
        <v>1291.193</v>
      </c>
      <c r="P6" s="4">
        <v>0</v>
      </c>
      <c r="Q6" s="3" t="s">
        <v>26</v>
      </c>
      <c r="R6" s="3">
        <v>0</v>
      </c>
      <c r="S6" s="3" t="s">
        <v>96</v>
      </c>
      <c r="T6" s="3" t="s">
        <v>289</v>
      </c>
      <c r="U6" s="3">
        <v>28</v>
      </c>
      <c r="V6" s="3">
        <v>29</v>
      </c>
      <c r="W6" s="3">
        <v>61</v>
      </c>
    </row>
    <row r="7" spans="1:23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4000</v>
      </c>
      <c r="K7" s="4">
        <v>4000</v>
      </c>
      <c r="L7" s="4">
        <v>1242.145</v>
      </c>
      <c r="M7" s="4">
        <v>1242.145</v>
      </c>
      <c r="N7" s="4">
        <v>1242.145</v>
      </c>
      <c r="O7" s="4">
        <v>1242.145</v>
      </c>
      <c r="P7" s="4">
        <v>0</v>
      </c>
      <c r="Q7" s="3" t="s">
        <v>26</v>
      </c>
      <c r="R7" s="3">
        <v>0</v>
      </c>
      <c r="S7" s="3" t="s">
        <v>97</v>
      </c>
      <c r="T7" s="3" t="s">
        <v>290</v>
      </c>
      <c r="U7" s="3">
        <v>28</v>
      </c>
      <c r="V7" s="3">
        <v>29</v>
      </c>
      <c r="W7" s="3">
        <v>61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3950</v>
      </c>
      <c r="K8" s="4">
        <v>3950</v>
      </c>
      <c r="L8" s="4">
        <v>1076.934</v>
      </c>
      <c r="M8" s="4">
        <v>1076.934</v>
      </c>
      <c r="N8" s="4">
        <v>1076.934</v>
      </c>
      <c r="O8" s="4">
        <v>1076.934</v>
      </c>
      <c r="P8" s="4">
        <v>0</v>
      </c>
      <c r="Q8" s="3" t="s">
        <v>26</v>
      </c>
      <c r="R8" s="3">
        <v>0</v>
      </c>
      <c r="S8" s="3" t="s">
        <v>98</v>
      </c>
      <c r="T8" s="3" t="s">
        <v>291</v>
      </c>
      <c r="U8" s="3">
        <v>28</v>
      </c>
      <c r="V8" s="3">
        <v>29</v>
      </c>
      <c r="W8" s="3">
        <v>61</v>
      </c>
    </row>
    <row r="9" spans="1:23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3402</v>
      </c>
      <c r="K9" s="4">
        <v>3402</v>
      </c>
      <c r="L9" s="4">
        <v>1128.9059999999999</v>
      </c>
      <c r="M9" s="4">
        <v>1128.9059999999999</v>
      </c>
      <c r="N9" s="4">
        <v>1128.9059999999999</v>
      </c>
      <c r="O9" s="4">
        <v>1128.9059999999999</v>
      </c>
      <c r="P9" s="4">
        <v>0</v>
      </c>
      <c r="Q9" s="3" t="s">
        <v>26</v>
      </c>
      <c r="R9" s="3">
        <v>0</v>
      </c>
      <c r="S9" s="3" t="s">
        <v>99</v>
      </c>
      <c r="T9" s="3" t="s">
        <v>292</v>
      </c>
      <c r="U9" s="3">
        <v>28</v>
      </c>
      <c r="V9" s="3">
        <v>29</v>
      </c>
      <c r="W9" s="3">
        <v>61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3128</v>
      </c>
      <c r="K10" s="4">
        <v>3128</v>
      </c>
      <c r="L10" s="4">
        <v>1152.1600000000001</v>
      </c>
      <c r="M10" s="4">
        <v>1152.1600000000001</v>
      </c>
      <c r="N10" s="4">
        <v>1152.1600000000001</v>
      </c>
      <c r="O10" s="4">
        <v>1152.1600000000001</v>
      </c>
      <c r="P10" s="4">
        <v>0</v>
      </c>
      <c r="Q10" s="3" t="s">
        <v>26</v>
      </c>
      <c r="R10" s="3">
        <v>0</v>
      </c>
      <c r="S10" s="3" t="s">
        <v>100</v>
      </c>
      <c r="T10" s="3" t="s">
        <v>293</v>
      </c>
      <c r="U10" s="3">
        <v>28</v>
      </c>
      <c r="V10" s="3">
        <v>29</v>
      </c>
      <c r="W10" s="3">
        <v>61</v>
      </c>
    </row>
    <row r="11" spans="1:23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3730</v>
      </c>
      <c r="K11" s="4">
        <v>3730</v>
      </c>
      <c r="L11" s="4">
        <v>1437.7159999999999</v>
      </c>
      <c r="M11" s="4">
        <v>1437.7159999999999</v>
      </c>
      <c r="N11" s="4">
        <v>1437.7159999999999</v>
      </c>
      <c r="O11" s="4">
        <v>1437.7159999999999</v>
      </c>
      <c r="P11" s="4">
        <v>0</v>
      </c>
      <c r="Q11" s="3" t="s">
        <v>26</v>
      </c>
      <c r="R11" s="3">
        <v>0</v>
      </c>
      <c r="S11" s="3" t="s">
        <v>101</v>
      </c>
      <c r="T11" s="3" t="s">
        <v>294</v>
      </c>
      <c r="U11" s="3">
        <v>28</v>
      </c>
      <c r="V11" s="3">
        <v>29</v>
      </c>
      <c r="W11" s="3">
        <v>61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3995</v>
      </c>
      <c r="K12" s="4">
        <v>3995</v>
      </c>
      <c r="L12" s="4">
        <v>1469.89</v>
      </c>
      <c r="M12" s="4">
        <v>1469.89</v>
      </c>
      <c r="N12" s="4">
        <v>1469.89</v>
      </c>
      <c r="O12" s="4">
        <v>1469.89</v>
      </c>
      <c r="P12" s="4">
        <v>0</v>
      </c>
      <c r="Q12" s="3" t="s">
        <v>26</v>
      </c>
      <c r="R12" s="3">
        <v>0</v>
      </c>
      <c r="S12" s="3" t="s">
        <v>102</v>
      </c>
      <c r="T12" s="3" t="s">
        <v>295</v>
      </c>
      <c r="U12" s="3">
        <v>28</v>
      </c>
      <c r="V12" s="3">
        <v>29</v>
      </c>
      <c r="W12" s="3">
        <v>61</v>
      </c>
    </row>
    <row r="13" spans="1:23" ht="11.25" customHeight="1" x14ac:dyDescent="0.25">
      <c r="A13" s="3" t="s">
        <v>55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3995</v>
      </c>
      <c r="K13" s="4">
        <v>3995</v>
      </c>
      <c r="L13" s="4">
        <v>1469.89</v>
      </c>
      <c r="M13" s="4">
        <v>1469.89</v>
      </c>
      <c r="N13" s="4">
        <v>1469.89</v>
      </c>
      <c r="O13" s="4">
        <v>1469.89</v>
      </c>
      <c r="P13" s="4">
        <v>0</v>
      </c>
      <c r="Q13" s="3" t="s">
        <v>26</v>
      </c>
      <c r="R13" s="3">
        <v>0</v>
      </c>
      <c r="S13" s="3" t="s">
        <v>103</v>
      </c>
      <c r="T13" s="3" t="s">
        <v>296</v>
      </c>
      <c r="U13" s="3">
        <v>28</v>
      </c>
      <c r="V13" s="3">
        <v>29</v>
      </c>
      <c r="W13" s="3">
        <v>61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44440</v>
      </c>
      <c r="J14" s="4">
        <v>1227</v>
      </c>
      <c r="K14" s="4">
        <v>1227</v>
      </c>
      <c r="L14" s="4">
        <v>65.489000000000004</v>
      </c>
      <c r="M14" s="4">
        <v>65.489000000000004</v>
      </c>
      <c r="N14" s="4">
        <v>65.489000000000004</v>
      </c>
      <c r="O14" s="4">
        <v>65.489000000000004</v>
      </c>
      <c r="P14" s="4">
        <v>0</v>
      </c>
      <c r="Q14" s="3" t="s">
        <v>26</v>
      </c>
      <c r="R14" s="3">
        <v>0</v>
      </c>
      <c r="S14" s="3" t="s">
        <v>104</v>
      </c>
      <c r="T14" s="3" t="s">
        <v>297</v>
      </c>
      <c r="U14" s="3">
        <v>54</v>
      </c>
      <c r="V14" s="3">
        <v>29</v>
      </c>
      <c r="W14" s="3">
        <v>70</v>
      </c>
    </row>
    <row r="15" spans="1:23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44470</v>
      </c>
      <c r="J15" s="4">
        <v>1273</v>
      </c>
      <c r="K15" s="4">
        <v>1273</v>
      </c>
      <c r="L15" s="4">
        <v>69.762</v>
      </c>
      <c r="M15" s="4">
        <v>69.762</v>
      </c>
      <c r="N15" s="4">
        <v>69.762</v>
      </c>
      <c r="O15" s="4">
        <v>69.762</v>
      </c>
      <c r="P15" s="4">
        <v>0</v>
      </c>
      <c r="Q15" s="3" t="s">
        <v>26</v>
      </c>
      <c r="R15" s="3">
        <v>0</v>
      </c>
      <c r="S15" s="3" t="s">
        <v>105</v>
      </c>
      <c r="T15" s="3" t="s">
        <v>298</v>
      </c>
      <c r="U15" s="3">
        <v>54</v>
      </c>
      <c r="V15" s="3">
        <v>29</v>
      </c>
      <c r="W15" s="3">
        <v>70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44501</v>
      </c>
      <c r="J16" s="4">
        <v>1239</v>
      </c>
      <c r="K16" s="4">
        <v>1239</v>
      </c>
      <c r="L16" s="4">
        <v>66.686000000000007</v>
      </c>
      <c r="M16" s="4">
        <v>66.686000000000007</v>
      </c>
      <c r="N16" s="4">
        <v>66.686000000000007</v>
      </c>
      <c r="O16" s="4">
        <v>66.686000000000007</v>
      </c>
      <c r="P16" s="4">
        <v>0</v>
      </c>
      <c r="Q16" s="3" t="s">
        <v>26</v>
      </c>
      <c r="R16" s="3">
        <v>0</v>
      </c>
      <c r="S16" s="3" t="s">
        <v>106</v>
      </c>
      <c r="T16" s="3" t="s">
        <v>299</v>
      </c>
      <c r="U16" s="3">
        <v>54</v>
      </c>
      <c r="V16" s="3">
        <v>29</v>
      </c>
      <c r="W16" s="3">
        <v>70</v>
      </c>
    </row>
    <row r="17" spans="1:2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44531</v>
      </c>
      <c r="J17" s="4">
        <v>1335</v>
      </c>
      <c r="K17" s="4">
        <v>1335</v>
      </c>
      <c r="L17" s="4">
        <v>57.280999999999999</v>
      </c>
      <c r="M17" s="4">
        <v>57.280999999999999</v>
      </c>
      <c r="N17" s="4">
        <v>57.280999999999999</v>
      </c>
      <c r="O17" s="4">
        <v>57.280999999999999</v>
      </c>
      <c r="P17" s="4">
        <v>0</v>
      </c>
      <c r="Q17" s="3" t="s">
        <v>26</v>
      </c>
      <c r="R17" s="3">
        <v>0</v>
      </c>
      <c r="S17" s="3" t="s">
        <v>107</v>
      </c>
      <c r="T17" s="3" t="s">
        <v>300</v>
      </c>
      <c r="U17" s="3">
        <v>54</v>
      </c>
      <c r="V17" s="3">
        <v>29</v>
      </c>
      <c r="W17" s="3">
        <v>70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44562</v>
      </c>
      <c r="J18" s="4">
        <v>965</v>
      </c>
      <c r="K18" s="4">
        <v>965</v>
      </c>
      <c r="L18" s="4">
        <v>52.65</v>
      </c>
      <c r="M18" s="4">
        <v>52.65</v>
      </c>
      <c r="N18" s="4">
        <v>52.65</v>
      </c>
      <c r="O18" s="4">
        <v>52.65</v>
      </c>
      <c r="P18" s="4">
        <v>0</v>
      </c>
      <c r="Q18" s="3" t="s">
        <v>26</v>
      </c>
      <c r="R18" s="3">
        <v>0</v>
      </c>
      <c r="S18" s="3" t="s">
        <v>108</v>
      </c>
      <c r="T18" s="3" t="s">
        <v>301</v>
      </c>
      <c r="U18" s="3">
        <v>54</v>
      </c>
      <c r="V18" s="3">
        <v>29</v>
      </c>
      <c r="W18" s="3">
        <v>70</v>
      </c>
    </row>
    <row r="19" spans="1:2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44593</v>
      </c>
      <c r="J19" s="4">
        <v>108</v>
      </c>
      <c r="K19" s="4">
        <v>108</v>
      </c>
      <c r="L19" s="4">
        <v>3.2130000000000001</v>
      </c>
      <c r="M19" s="4">
        <v>3.2130000000000001</v>
      </c>
      <c r="N19" s="4">
        <v>3.2130000000000001</v>
      </c>
      <c r="O19" s="4">
        <v>3.2130000000000001</v>
      </c>
      <c r="P19" s="4">
        <v>0</v>
      </c>
      <c r="Q19" s="3" t="s">
        <v>26</v>
      </c>
      <c r="R19" s="3">
        <v>0</v>
      </c>
      <c r="S19" s="3" t="s">
        <v>109</v>
      </c>
      <c r="T19" s="3" t="s">
        <v>302</v>
      </c>
      <c r="U19" s="3">
        <v>54</v>
      </c>
      <c r="V19" s="3">
        <v>29</v>
      </c>
      <c r="W19" s="3">
        <v>70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44621</v>
      </c>
      <c r="J20" s="4">
        <v>211</v>
      </c>
      <c r="K20" s="4">
        <v>211</v>
      </c>
      <c r="L20" s="4">
        <v>5.234</v>
      </c>
      <c r="M20" s="4">
        <v>5.234</v>
      </c>
      <c r="N20" s="4">
        <v>5.234</v>
      </c>
      <c r="O20" s="4">
        <v>5.234</v>
      </c>
      <c r="P20" s="4">
        <v>0</v>
      </c>
      <c r="Q20" s="3" t="s">
        <v>26</v>
      </c>
      <c r="R20" s="3">
        <v>0</v>
      </c>
      <c r="S20" s="3" t="s">
        <v>110</v>
      </c>
      <c r="T20" s="3" t="s">
        <v>303</v>
      </c>
      <c r="U20" s="3">
        <v>54</v>
      </c>
      <c r="V20" s="3">
        <v>29</v>
      </c>
      <c r="W20" s="3">
        <v>70</v>
      </c>
    </row>
    <row r="21" spans="1:2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44652</v>
      </c>
      <c r="J21" s="4">
        <v>298</v>
      </c>
      <c r="K21" s="4">
        <v>298</v>
      </c>
      <c r="L21" s="4">
        <v>7.0860000000000003</v>
      </c>
      <c r="M21" s="4">
        <v>7.0860000000000003</v>
      </c>
      <c r="N21" s="4">
        <v>7.0860000000000003</v>
      </c>
      <c r="O21" s="4">
        <v>7.0860000000000003</v>
      </c>
      <c r="P21" s="4">
        <v>0</v>
      </c>
      <c r="Q21" s="3" t="s">
        <v>26</v>
      </c>
      <c r="R21" s="3">
        <v>0</v>
      </c>
      <c r="S21" s="3" t="s">
        <v>111</v>
      </c>
      <c r="T21" s="3" t="s">
        <v>304</v>
      </c>
      <c r="U21" s="3">
        <v>54</v>
      </c>
      <c r="V21" s="3">
        <v>29</v>
      </c>
      <c r="W21" s="3">
        <v>70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44682</v>
      </c>
      <c r="J22" s="4">
        <v>100</v>
      </c>
      <c r="K22" s="4">
        <v>100</v>
      </c>
      <c r="L22" s="4">
        <v>2.9580000000000002</v>
      </c>
      <c r="M22" s="4">
        <v>2.9580000000000002</v>
      </c>
      <c r="N22" s="4">
        <v>2.9580000000000002</v>
      </c>
      <c r="O22" s="4">
        <v>2.9580000000000002</v>
      </c>
      <c r="P22" s="4">
        <v>0</v>
      </c>
      <c r="Q22" s="3" t="s">
        <v>26</v>
      </c>
      <c r="R22" s="3">
        <v>0</v>
      </c>
      <c r="S22" s="3" t="s">
        <v>112</v>
      </c>
      <c r="T22" s="3" t="s">
        <v>305</v>
      </c>
      <c r="U22" s="3">
        <v>54</v>
      </c>
      <c r="V22" s="3">
        <v>29</v>
      </c>
      <c r="W22" s="3">
        <v>70</v>
      </c>
    </row>
    <row r="23" spans="1:2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44713</v>
      </c>
      <c r="J23" s="4">
        <v>105</v>
      </c>
      <c r="K23" s="4">
        <v>105</v>
      </c>
      <c r="L23" s="4">
        <v>3.4359999999999999</v>
      </c>
      <c r="M23" s="4">
        <v>3.4359999999999999</v>
      </c>
      <c r="N23" s="4">
        <v>3.4359999999999999</v>
      </c>
      <c r="O23" s="4">
        <v>3.4359999999999999</v>
      </c>
      <c r="P23" s="4">
        <v>0</v>
      </c>
      <c r="Q23" s="3" t="s">
        <v>26</v>
      </c>
      <c r="R23" s="3">
        <v>0</v>
      </c>
      <c r="S23" s="3" t="s">
        <v>113</v>
      </c>
      <c r="T23" s="3" t="s">
        <v>306</v>
      </c>
      <c r="U23" s="3">
        <v>54</v>
      </c>
      <c r="V23" s="3">
        <v>29</v>
      </c>
      <c r="W23" s="3">
        <v>70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44743</v>
      </c>
      <c r="J24" s="4">
        <v>105</v>
      </c>
      <c r="K24" s="4">
        <v>105</v>
      </c>
      <c r="L24" s="4">
        <v>3.5680000000000001</v>
      </c>
      <c r="M24" s="4">
        <v>3.5680000000000001</v>
      </c>
      <c r="N24" s="4">
        <v>3.5680000000000001</v>
      </c>
      <c r="O24" s="4">
        <v>3.5680000000000001</v>
      </c>
      <c r="P24" s="4">
        <v>0</v>
      </c>
      <c r="Q24" s="3" t="s">
        <v>26</v>
      </c>
      <c r="R24" s="3">
        <v>0</v>
      </c>
      <c r="S24" s="3" t="s">
        <v>114</v>
      </c>
      <c r="T24" s="3" t="s">
        <v>307</v>
      </c>
      <c r="U24" s="3">
        <v>54</v>
      </c>
      <c r="V24" s="3">
        <v>29</v>
      </c>
      <c r="W24" s="3">
        <v>70</v>
      </c>
    </row>
    <row r="25" spans="1:23" ht="11.25" customHeight="1" x14ac:dyDescent="0.25">
      <c r="A25" s="3" t="s">
        <v>55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44774</v>
      </c>
      <c r="J25" s="4">
        <v>105</v>
      </c>
      <c r="K25" s="4">
        <v>105</v>
      </c>
      <c r="L25" s="4">
        <v>3.5680000000000001</v>
      </c>
      <c r="M25" s="4">
        <v>3.5680000000000001</v>
      </c>
      <c r="N25" s="4">
        <v>3.5680000000000001</v>
      </c>
      <c r="O25" s="4">
        <v>3.5680000000000001</v>
      </c>
      <c r="P25" s="4">
        <v>0</v>
      </c>
      <c r="Q25" s="3" t="s">
        <v>26</v>
      </c>
      <c r="R25" s="3">
        <v>0</v>
      </c>
      <c r="S25" s="3" t="s">
        <v>115</v>
      </c>
      <c r="T25" s="3" t="s">
        <v>308</v>
      </c>
      <c r="U25" s="3">
        <v>54</v>
      </c>
      <c r="V25" s="3">
        <v>29</v>
      </c>
      <c r="W25" s="3">
        <v>70</v>
      </c>
    </row>
    <row r="26" spans="1:23" ht="11.25" customHeight="1" x14ac:dyDescent="0.25">
      <c r="A26" s="3" t="s">
        <v>21</v>
      </c>
      <c r="B26" s="3" t="s">
        <v>35</v>
      </c>
      <c r="C26" s="3" t="s">
        <v>39</v>
      </c>
      <c r="D26" s="3" t="s">
        <v>40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44440</v>
      </c>
      <c r="J26" s="4">
        <v>0</v>
      </c>
      <c r="K26" s="4">
        <v>0</v>
      </c>
      <c r="L26" s="4">
        <v>376.36799999999999</v>
      </c>
      <c r="M26" s="4">
        <v>376.36799999999999</v>
      </c>
      <c r="N26" s="4">
        <v>376.36799999999999</v>
      </c>
      <c r="O26" s="4">
        <v>376.36799999999999</v>
      </c>
      <c r="P26" s="4">
        <v>0</v>
      </c>
      <c r="Q26" s="3" t="s">
        <v>26</v>
      </c>
      <c r="R26" s="3">
        <v>0</v>
      </c>
      <c r="S26" s="3" t="s">
        <v>116</v>
      </c>
      <c r="T26" s="3" t="s">
        <v>285</v>
      </c>
      <c r="U26" s="3">
        <v>0</v>
      </c>
      <c r="V26" s="3">
        <v>50</v>
      </c>
      <c r="W26" s="3">
        <v>61</v>
      </c>
    </row>
    <row r="27" spans="1:23" ht="11.25" customHeight="1" x14ac:dyDescent="0.25">
      <c r="A27" s="3" t="s">
        <v>21</v>
      </c>
      <c r="B27" s="3" t="s">
        <v>35</v>
      </c>
      <c r="C27" s="3" t="s">
        <v>39</v>
      </c>
      <c r="D27" s="3" t="s">
        <v>40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44470</v>
      </c>
      <c r="J27" s="4">
        <v>0</v>
      </c>
      <c r="K27" s="4">
        <v>0</v>
      </c>
      <c r="L27" s="4">
        <v>392.959</v>
      </c>
      <c r="M27" s="4">
        <v>392.959</v>
      </c>
      <c r="N27" s="4">
        <v>392.959</v>
      </c>
      <c r="O27" s="4">
        <v>392.959</v>
      </c>
      <c r="P27" s="4">
        <v>0</v>
      </c>
      <c r="Q27" s="3" t="s">
        <v>26</v>
      </c>
      <c r="R27" s="3">
        <v>0</v>
      </c>
      <c r="S27" s="3" t="s">
        <v>117</v>
      </c>
      <c r="T27" s="3" t="s">
        <v>286</v>
      </c>
      <c r="U27" s="3">
        <v>0</v>
      </c>
      <c r="V27" s="3">
        <v>50</v>
      </c>
      <c r="W27" s="3">
        <v>61</v>
      </c>
    </row>
    <row r="28" spans="1:23" ht="11.25" customHeight="1" x14ac:dyDescent="0.25">
      <c r="A28" s="3" t="s">
        <v>21</v>
      </c>
      <c r="B28" s="3" t="s">
        <v>35</v>
      </c>
      <c r="C28" s="3" t="s">
        <v>39</v>
      </c>
      <c r="D28" s="3" t="s">
        <v>40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44501</v>
      </c>
      <c r="J28" s="4">
        <v>0</v>
      </c>
      <c r="K28" s="4">
        <v>0</v>
      </c>
      <c r="L28" s="4">
        <v>390.53</v>
      </c>
      <c r="M28" s="4">
        <v>390.53</v>
      </c>
      <c r="N28" s="4">
        <v>390.53</v>
      </c>
      <c r="O28" s="4">
        <v>390.53</v>
      </c>
      <c r="P28" s="4">
        <v>0</v>
      </c>
      <c r="Q28" s="3" t="s">
        <v>26</v>
      </c>
      <c r="R28" s="3">
        <v>0</v>
      </c>
      <c r="S28" s="3" t="s">
        <v>118</v>
      </c>
      <c r="T28" s="3" t="s">
        <v>287</v>
      </c>
      <c r="U28" s="3">
        <v>0</v>
      </c>
      <c r="V28" s="3">
        <v>50</v>
      </c>
      <c r="W28" s="3">
        <v>61</v>
      </c>
    </row>
    <row r="29" spans="1:23" ht="11.25" customHeight="1" x14ac:dyDescent="0.25">
      <c r="A29" s="3" t="s">
        <v>21</v>
      </c>
      <c r="B29" s="3" t="s">
        <v>35</v>
      </c>
      <c r="C29" s="3" t="s">
        <v>39</v>
      </c>
      <c r="D29" s="3" t="s">
        <v>40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44531</v>
      </c>
      <c r="J29" s="4">
        <v>0</v>
      </c>
      <c r="K29" s="4">
        <v>0</v>
      </c>
      <c r="L29" s="4">
        <v>416.24599999999998</v>
      </c>
      <c r="M29" s="4">
        <v>416.24599999999998</v>
      </c>
      <c r="N29" s="4">
        <v>416.24599999999998</v>
      </c>
      <c r="O29" s="4">
        <v>416.24599999999998</v>
      </c>
      <c r="P29" s="4">
        <v>0</v>
      </c>
      <c r="Q29" s="3" t="s">
        <v>26</v>
      </c>
      <c r="R29" s="3">
        <v>0</v>
      </c>
      <c r="S29" s="3" t="s">
        <v>119</v>
      </c>
      <c r="T29" s="3" t="s">
        <v>288</v>
      </c>
      <c r="U29" s="3">
        <v>0</v>
      </c>
      <c r="V29" s="3">
        <v>50</v>
      </c>
      <c r="W29" s="3">
        <v>61</v>
      </c>
    </row>
    <row r="30" spans="1:23" ht="11.25" customHeight="1" x14ac:dyDescent="0.25">
      <c r="A30" s="3" t="s">
        <v>21</v>
      </c>
      <c r="B30" s="3" t="s">
        <v>35</v>
      </c>
      <c r="C30" s="3" t="s">
        <v>39</v>
      </c>
      <c r="D30" s="3" t="s">
        <v>40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44562</v>
      </c>
      <c r="J30" s="4">
        <v>0</v>
      </c>
      <c r="K30" s="4">
        <v>0</v>
      </c>
      <c r="L30" s="4">
        <v>399.072</v>
      </c>
      <c r="M30" s="4">
        <v>399.072</v>
      </c>
      <c r="N30" s="4">
        <v>399.072</v>
      </c>
      <c r="O30" s="4">
        <v>399.072</v>
      </c>
      <c r="P30" s="4">
        <v>0</v>
      </c>
      <c r="Q30" s="3" t="s">
        <v>26</v>
      </c>
      <c r="R30" s="3">
        <v>0</v>
      </c>
      <c r="S30" s="3" t="s">
        <v>120</v>
      </c>
      <c r="T30" s="3" t="s">
        <v>289</v>
      </c>
      <c r="U30" s="3">
        <v>0</v>
      </c>
      <c r="V30" s="3">
        <v>50</v>
      </c>
      <c r="W30" s="3">
        <v>61</v>
      </c>
    </row>
    <row r="31" spans="1:23" ht="11.25" customHeight="1" x14ac:dyDescent="0.25">
      <c r="A31" s="3" t="s">
        <v>21</v>
      </c>
      <c r="B31" s="3" t="s">
        <v>35</v>
      </c>
      <c r="C31" s="3" t="s">
        <v>39</v>
      </c>
      <c r="D31" s="3" t="s">
        <v>40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44593</v>
      </c>
      <c r="J31" s="4">
        <v>0</v>
      </c>
      <c r="K31" s="4">
        <v>0</v>
      </c>
      <c r="L31" s="4">
        <v>453.76799999999997</v>
      </c>
      <c r="M31" s="4">
        <v>453.76799999999997</v>
      </c>
      <c r="N31" s="4">
        <v>453.76799999999997</v>
      </c>
      <c r="O31" s="4">
        <v>453.76799999999997</v>
      </c>
      <c r="P31" s="4">
        <v>0</v>
      </c>
      <c r="Q31" s="3" t="s">
        <v>26</v>
      </c>
      <c r="R31" s="3">
        <v>0</v>
      </c>
      <c r="S31" s="3" t="s">
        <v>121</v>
      </c>
      <c r="T31" s="3" t="s">
        <v>290</v>
      </c>
      <c r="U31" s="3">
        <v>0</v>
      </c>
      <c r="V31" s="3">
        <v>50</v>
      </c>
      <c r="W31" s="3">
        <v>61</v>
      </c>
    </row>
    <row r="32" spans="1:23" ht="11.25" customHeight="1" x14ac:dyDescent="0.25">
      <c r="A32" s="3" t="s">
        <v>21</v>
      </c>
      <c r="B32" s="3" t="s">
        <v>35</v>
      </c>
      <c r="C32" s="3" t="s">
        <v>39</v>
      </c>
      <c r="D32" s="3" t="s">
        <v>40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44621</v>
      </c>
      <c r="J32" s="4">
        <v>0</v>
      </c>
      <c r="K32" s="4">
        <v>0</v>
      </c>
      <c r="L32" s="4">
        <v>433.97800000000001</v>
      </c>
      <c r="M32" s="4">
        <v>433.97800000000001</v>
      </c>
      <c r="N32" s="4">
        <v>433.97800000000001</v>
      </c>
      <c r="O32" s="4">
        <v>433.97800000000001</v>
      </c>
      <c r="P32" s="4">
        <v>0</v>
      </c>
      <c r="Q32" s="3" t="s">
        <v>26</v>
      </c>
      <c r="R32" s="3">
        <v>0</v>
      </c>
      <c r="S32" s="3" t="s">
        <v>122</v>
      </c>
      <c r="T32" s="3" t="s">
        <v>291</v>
      </c>
      <c r="U32" s="3">
        <v>0</v>
      </c>
      <c r="V32" s="3">
        <v>50</v>
      </c>
      <c r="W32" s="3">
        <v>61</v>
      </c>
    </row>
    <row r="33" spans="1:23" ht="11.25" customHeight="1" x14ac:dyDescent="0.25">
      <c r="A33" s="3" t="s">
        <v>21</v>
      </c>
      <c r="B33" s="3" t="s">
        <v>35</v>
      </c>
      <c r="C33" s="3" t="s">
        <v>39</v>
      </c>
      <c r="D33" s="3" t="s">
        <v>40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44652</v>
      </c>
      <c r="J33" s="4">
        <v>0</v>
      </c>
      <c r="K33" s="4">
        <v>0</v>
      </c>
      <c r="L33" s="4">
        <v>455.69799999999998</v>
      </c>
      <c r="M33" s="4">
        <v>455.69799999999998</v>
      </c>
      <c r="N33" s="4">
        <v>455.69799999999998</v>
      </c>
      <c r="O33" s="4">
        <v>455.69799999999998</v>
      </c>
      <c r="P33" s="4">
        <v>0</v>
      </c>
      <c r="Q33" s="3" t="s">
        <v>26</v>
      </c>
      <c r="R33" s="3">
        <v>0</v>
      </c>
      <c r="S33" s="3" t="s">
        <v>123</v>
      </c>
      <c r="T33" s="3" t="s">
        <v>292</v>
      </c>
      <c r="U33" s="3">
        <v>0</v>
      </c>
      <c r="V33" s="3">
        <v>50</v>
      </c>
      <c r="W33" s="3">
        <v>61</v>
      </c>
    </row>
    <row r="34" spans="1:23" ht="11.25" customHeight="1" x14ac:dyDescent="0.25">
      <c r="A34" s="3" t="s">
        <v>21</v>
      </c>
      <c r="B34" s="3" t="s">
        <v>35</v>
      </c>
      <c r="C34" s="3" t="s">
        <v>39</v>
      </c>
      <c r="D34" s="3" t="s">
        <v>40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44682</v>
      </c>
      <c r="J34" s="4">
        <v>0</v>
      </c>
      <c r="K34" s="4">
        <v>0</v>
      </c>
      <c r="L34" s="4">
        <v>388.16300000000001</v>
      </c>
      <c r="M34" s="4">
        <v>388.16300000000001</v>
      </c>
      <c r="N34" s="4">
        <v>388.16300000000001</v>
      </c>
      <c r="O34" s="4">
        <v>388.16300000000001</v>
      </c>
      <c r="P34" s="4">
        <v>0</v>
      </c>
      <c r="Q34" s="3" t="s">
        <v>26</v>
      </c>
      <c r="R34" s="3">
        <v>0</v>
      </c>
      <c r="S34" s="3" t="s">
        <v>124</v>
      </c>
      <c r="T34" s="3" t="s">
        <v>293</v>
      </c>
      <c r="U34" s="3">
        <v>0</v>
      </c>
      <c r="V34" s="3">
        <v>50</v>
      </c>
      <c r="W34" s="3">
        <v>61</v>
      </c>
    </row>
    <row r="35" spans="1:23" ht="11.25" customHeight="1" x14ac:dyDescent="0.25">
      <c r="A35" s="3" t="s">
        <v>21</v>
      </c>
      <c r="B35" s="3" t="s">
        <v>35</v>
      </c>
      <c r="C35" s="3" t="s">
        <v>39</v>
      </c>
      <c r="D35" s="3" t="s">
        <v>40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44713</v>
      </c>
      <c r="J35" s="4">
        <v>0</v>
      </c>
      <c r="K35" s="4">
        <v>0</v>
      </c>
      <c r="L35" s="4">
        <v>407.42399999999998</v>
      </c>
      <c r="M35" s="4">
        <v>407.42399999999998</v>
      </c>
      <c r="N35" s="4">
        <v>407.42399999999998</v>
      </c>
      <c r="O35" s="4">
        <v>407.42399999999998</v>
      </c>
      <c r="P35" s="4">
        <v>0</v>
      </c>
      <c r="Q35" s="3" t="s">
        <v>26</v>
      </c>
      <c r="R35" s="3">
        <v>0</v>
      </c>
      <c r="S35" s="3" t="s">
        <v>125</v>
      </c>
      <c r="T35" s="3" t="s">
        <v>294</v>
      </c>
      <c r="U35" s="3">
        <v>0</v>
      </c>
      <c r="V35" s="3">
        <v>50</v>
      </c>
      <c r="W35" s="3">
        <v>61</v>
      </c>
    </row>
    <row r="36" spans="1:23" ht="11.25" customHeight="1" x14ac:dyDescent="0.25">
      <c r="A36" s="3" t="s">
        <v>21</v>
      </c>
      <c r="B36" s="3" t="s">
        <v>35</v>
      </c>
      <c r="C36" s="3" t="s">
        <v>39</v>
      </c>
      <c r="D36" s="3" t="s">
        <v>40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44743</v>
      </c>
      <c r="J36" s="4">
        <v>0</v>
      </c>
      <c r="K36" s="4">
        <v>0</v>
      </c>
      <c r="L36" s="4">
        <v>401.84199999999998</v>
      </c>
      <c r="M36" s="4">
        <v>401.84199999999998</v>
      </c>
      <c r="N36" s="4">
        <v>401.84199999999998</v>
      </c>
      <c r="O36" s="4">
        <v>401.84199999999998</v>
      </c>
      <c r="P36" s="4">
        <v>0</v>
      </c>
      <c r="Q36" s="3" t="s">
        <v>26</v>
      </c>
      <c r="R36" s="3">
        <v>0</v>
      </c>
      <c r="S36" s="3" t="s">
        <v>126</v>
      </c>
      <c r="T36" s="3" t="s">
        <v>295</v>
      </c>
      <c r="U36" s="3">
        <v>0</v>
      </c>
      <c r="V36" s="3">
        <v>50</v>
      </c>
      <c r="W36" s="3">
        <v>61</v>
      </c>
    </row>
    <row r="37" spans="1:23" ht="11.25" customHeight="1" x14ac:dyDescent="0.25">
      <c r="A37" s="3" t="s">
        <v>55</v>
      </c>
      <c r="B37" s="3" t="s">
        <v>35</v>
      </c>
      <c r="C37" s="3" t="s">
        <v>39</v>
      </c>
      <c r="D37" s="3" t="s">
        <v>40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44774</v>
      </c>
      <c r="J37" s="4">
        <v>0</v>
      </c>
      <c r="K37" s="4">
        <v>0</v>
      </c>
      <c r="L37" s="4">
        <v>401.84199999999998</v>
      </c>
      <c r="M37" s="4">
        <v>401.84199999999998</v>
      </c>
      <c r="N37" s="4">
        <v>401.84199999999998</v>
      </c>
      <c r="O37" s="4">
        <v>401.84199999999998</v>
      </c>
      <c r="P37" s="4">
        <v>0</v>
      </c>
      <c r="Q37" s="3" t="s">
        <v>26</v>
      </c>
      <c r="R37" s="3">
        <v>0</v>
      </c>
      <c r="S37" s="3" t="s">
        <v>127</v>
      </c>
      <c r="T37" s="3" t="s">
        <v>296</v>
      </c>
      <c r="U37" s="3">
        <v>0</v>
      </c>
      <c r="V37" s="3">
        <v>50</v>
      </c>
      <c r="W37" s="3">
        <v>61</v>
      </c>
    </row>
    <row r="38" spans="1:23" ht="11.25" customHeight="1" x14ac:dyDescent="0.25">
      <c r="A38" s="3" t="s">
        <v>21</v>
      </c>
      <c r="B38" s="3" t="s">
        <v>35</v>
      </c>
      <c r="C38" s="3" t="s">
        <v>39</v>
      </c>
      <c r="D38" s="3" t="s">
        <v>40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44440</v>
      </c>
      <c r="J38" s="4">
        <v>1808</v>
      </c>
      <c r="K38" s="4">
        <v>1808</v>
      </c>
      <c r="L38" s="4">
        <v>0</v>
      </c>
      <c r="M38" s="4">
        <v>0</v>
      </c>
      <c r="N38" s="4">
        <v>0</v>
      </c>
      <c r="O38" s="4">
        <v>0</v>
      </c>
      <c r="P38" s="4">
        <v>15</v>
      </c>
      <c r="Q38" s="3" t="s">
        <v>26</v>
      </c>
      <c r="R38" s="3">
        <v>0</v>
      </c>
      <c r="S38" s="3" t="s">
        <v>128</v>
      </c>
      <c r="U38" s="3">
        <v>46</v>
      </c>
      <c r="V38" s="3">
        <v>0</v>
      </c>
      <c r="W38" s="3">
        <v>0</v>
      </c>
    </row>
    <row r="39" spans="1:23" ht="11.25" customHeight="1" x14ac:dyDescent="0.25">
      <c r="A39" s="3" t="s">
        <v>21</v>
      </c>
      <c r="B39" s="3" t="s">
        <v>35</v>
      </c>
      <c r="C39" s="3" t="s">
        <v>39</v>
      </c>
      <c r="D39" s="3" t="s">
        <v>40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44470</v>
      </c>
      <c r="J39" s="4">
        <v>1882</v>
      </c>
      <c r="K39" s="4">
        <v>1882</v>
      </c>
      <c r="L39" s="4">
        <v>0</v>
      </c>
      <c r="M39" s="4">
        <v>0</v>
      </c>
      <c r="N39" s="4">
        <v>0</v>
      </c>
      <c r="O39" s="4">
        <v>0</v>
      </c>
      <c r="P39" s="4">
        <v>15</v>
      </c>
      <c r="Q39" s="3" t="s">
        <v>26</v>
      </c>
      <c r="R39" s="3">
        <v>0</v>
      </c>
      <c r="S39" s="3" t="s">
        <v>129</v>
      </c>
      <c r="U39" s="3">
        <v>46</v>
      </c>
      <c r="V39" s="3">
        <v>0</v>
      </c>
      <c r="W39" s="3">
        <v>0</v>
      </c>
    </row>
    <row r="40" spans="1:23" ht="11.25" customHeight="1" x14ac:dyDescent="0.25">
      <c r="A40" s="3" t="s">
        <v>21</v>
      </c>
      <c r="B40" s="3" t="s">
        <v>35</v>
      </c>
      <c r="C40" s="3" t="s">
        <v>39</v>
      </c>
      <c r="D40" s="3" t="s">
        <v>40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44501</v>
      </c>
      <c r="J40" s="4">
        <v>1860</v>
      </c>
      <c r="K40" s="4">
        <v>1860</v>
      </c>
      <c r="L40" s="4">
        <v>0</v>
      </c>
      <c r="M40" s="4">
        <v>0</v>
      </c>
      <c r="N40" s="4">
        <v>0</v>
      </c>
      <c r="O40" s="4">
        <v>0</v>
      </c>
      <c r="P40" s="4">
        <v>15</v>
      </c>
      <c r="Q40" s="3" t="s">
        <v>26</v>
      </c>
      <c r="R40" s="3">
        <v>0</v>
      </c>
      <c r="S40" s="3" t="s">
        <v>130</v>
      </c>
      <c r="U40" s="3">
        <v>46</v>
      </c>
      <c r="V40" s="3">
        <v>0</v>
      </c>
      <c r="W40" s="3">
        <v>0</v>
      </c>
    </row>
    <row r="41" spans="1:23" ht="11.25" customHeight="1" x14ac:dyDescent="0.25">
      <c r="A41" s="3" t="s">
        <v>21</v>
      </c>
      <c r="B41" s="3" t="s">
        <v>35</v>
      </c>
      <c r="C41" s="3" t="s">
        <v>39</v>
      </c>
      <c r="D41" s="3" t="s">
        <v>40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44531</v>
      </c>
      <c r="J41" s="4">
        <v>1878</v>
      </c>
      <c r="K41" s="4">
        <v>1878</v>
      </c>
      <c r="L41" s="4">
        <v>0</v>
      </c>
      <c r="M41" s="4">
        <v>0</v>
      </c>
      <c r="N41" s="4">
        <v>0</v>
      </c>
      <c r="O41" s="4">
        <v>0</v>
      </c>
      <c r="P41" s="4">
        <v>15</v>
      </c>
      <c r="Q41" s="3" t="s">
        <v>26</v>
      </c>
      <c r="R41" s="3">
        <v>0</v>
      </c>
      <c r="S41" s="3" t="s">
        <v>131</v>
      </c>
      <c r="U41" s="3">
        <v>46</v>
      </c>
      <c r="V41" s="3">
        <v>0</v>
      </c>
      <c r="W41" s="3">
        <v>0</v>
      </c>
    </row>
    <row r="42" spans="1:23" ht="11.25" customHeight="1" x14ac:dyDescent="0.25">
      <c r="A42" s="3" t="s">
        <v>21</v>
      </c>
      <c r="B42" s="3" t="s">
        <v>35</v>
      </c>
      <c r="C42" s="3" t="s">
        <v>39</v>
      </c>
      <c r="D42" s="3" t="s">
        <v>40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44562</v>
      </c>
      <c r="J42" s="4">
        <v>1831</v>
      </c>
      <c r="K42" s="4">
        <v>1831</v>
      </c>
      <c r="L42" s="4">
        <v>0</v>
      </c>
      <c r="M42" s="4">
        <v>0</v>
      </c>
      <c r="N42" s="4">
        <v>0</v>
      </c>
      <c r="O42" s="4">
        <v>0</v>
      </c>
      <c r="P42" s="4">
        <v>14</v>
      </c>
      <c r="Q42" s="3" t="s">
        <v>26</v>
      </c>
      <c r="R42" s="3">
        <v>0</v>
      </c>
      <c r="S42" s="3" t="s">
        <v>132</v>
      </c>
      <c r="U42" s="3">
        <v>46</v>
      </c>
      <c r="V42" s="3">
        <v>0</v>
      </c>
      <c r="W42" s="3">
        <v>0</v>
      </c>
    </row>
    <row r="43" spans="1:23" ht="11.25" customHeight="1" x14ac:dyDescent="0.25">
      <c r="A43" s="3" t="s">
        <v>21</v>
      </c>
      <c r="B43" s="3" t="s">
        <v>35</v>
      </c>
      <c r="C43" s="3" t="s">
        <v>39</v>
      </c>
      <c r="D43" s="3" t="s">
        <v>40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44593</v>
      </c>
      <c r="J43" s="4">
        <v>1882</v>
      </c>
      <c r="K43" s="4">
        <v>1882</v>
      </c>
      <c r="L43" s="4">
        <v>0</v>
      </c>
      <c r="M43" s="4">
        <v>0</v>
      </c>
      <c r="N43" s="4">
        <v>0</v>
      </c>
      <c r="O43" s="4">
        <v>0</v>
      </c>
      <c r="P43" s="4">
        <v>14</v>
      </c>
      <c r="Q43" s="3" t="s">
        <v>26</v>
      </c>
      <c r="R43" s="3">
        <v>0</v>
      </c>
      <c r="S43" s="3" t="s">
        <v>133</v>
      </c>
      <c r="U43" s="3">
        <v>46</v>
      </c>
      <c r="V43" s="3">
        <v>0</v>
      </c>
      <c r="W43" s="3">
        <v>0</v>
      </c>
    </row>
    <row r="44" spans="1:23" ht="11.25" customHeight="1" x14ac:dyDescent="0.25">
      <c r="A44" s="3" t="s">
        <v>21</v>
      </c>
      <c r="B44" s="3" t="s">
        <v>35</v>
      </c>
      <c r="C44" s="3" t="s">
        <v>39</v>
      </c>
      <c r="D44" s="3" t="s">
        <v>40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44621</v>
      </c>
      <c r="J44" s="4">
        <v>1865</v>
      </c>
      <c r="K44" s="4">
        <v>1865</v>
      </c>
      <c r="L44" s="4">
        <v>0</v>
      </c>
      <c r="M44" s="4">
        <v>0</v>
      </c>
      <c r="N44" s="4">
        <v>0</v>
      </c>
      <c r="O44" s="4">
        <v>0</v>
      </c>
      <c r="P44" s="4">
        <v>14</v>
      </c>
      <c r="Q44" s="3" t="s">
        <v>26</v>
      </c>
      <c r="R44" s="3">
        <v>0</v>
      </c>
      <c r="S44" s="3" t="s">
        <v>134</v>
      </c>
      <c r="U44" s="3">
        <v>46</v>
      </c>
      <c r="V44" s="3">
        <v>0</v>
      </c>
      <c r="W44" s="3">
        <v>0</v>
      </c>
    </row>
    <row r="45" spans="1:23" ht="11.25" customHeight="1" x14ac:dyDescent="0.25">
      <c r="A45" s="3" t="s">
        <v>21</v>
      </c>
      <c r="B45" s="3" t="s">
        <v>35</v>
      </c>
      <c r="C45" s="3" t="s">
        <v>39</v>
      </c>
      <c r="D45" s="3" t="s">
        <v>40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44652</v>
      </c>
      <c r="J45" s="4">
        <v>1885</v>
      </c>
      <c r="K45" s="4">
        <v>1885</v>
      </c>
      <c r="L45" s="4">
        <v>0</v>
      </c>
      <c r="M45" s="4">
        <v>0</v>
      </c>
      <c r="N45" s="4">
        <v>0</v>
      </c>
      <c r="O45" s="4">
        <v>0</v>
      </c>
      <c r="P45" s="4">
        <v>14</v>
      </c>
      <c r="Q45" s="3" t="s">
        <v>26</v>
      </c>
      <c r="R45" s="3">
        <v>0</v>
      </c>
      <c r="S45" s="3" t="s">
        <v>135</v>
      </c>
      <c r="U45" s="3">
        <v>46</v>
      </c>
      <c r="V45" s="3">
        <v>0</v>
      </c>
      <c r="W45" s="3">
        <v>0</v>
      </c>
    </row>
    <row r="46" spans="1:23" ht="11.25" customHeight="1" x14ac:dyDescent="0.25">
      <c r="A46" s="3" t="s">
        <v>21</v>
      </c>
      <c r="B46" s="3" t="s">
        <v>35</v>
      </c>
      <c r="C46" s="3" t="s">
        <v>39</v>
      </c>
      <c r="D46" s="3" t="s">
        <v>40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44682</v>
      </c>
      <c r="J46" s="4">
        <v>1853</v>
      </c>
      <c r="K46" s="4">
        <v>1853</v>
      </c>
      <c r="L46" s="4">
        <v>0</v>
      </c>
      <c r="M46" s="4">
        <v>0</v>
      </c>
      <c r="N46" s="4">
        <v>0</v>
      </c>
      <c r="O46" s="4">
        <v>0</v>
      </c>
      <c r="P46" s="4">
        <v>14</v>
      </c>
      <c r="Q46" s="3" t="s">
        <v>26</v>
      </c>
      <c r="R46" s="3">
        <v>0</v>
      </c>
      <c r="S46" s="3" t="s">
        <v>136</v>
      </c>
      <c r="U46" s="3">
        <v>46</v>
      </c>
      <c r="V46" s="3">
        <v>0</v>
      </c>
      <c r="W46" s="3">
        <v>0</v>
      </c>
    </row>
    <row r="47" spans="1:23" ht="11.25" customHeight="1" x14ac:dyDescent="0.25">
      <c r="A47" s="3" t="s">
        <v>21</v>
      </c>
      <c r="B47" s="3" t="s">
        <v>35</v>
      </c>
      <c r="C47" s="3" t="s">
        <v>39</v>
      </c>
      <c r="D47" s="3" t="s">
        <v>40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44713</v>
      </c>
      <c r="J47" s="4">
        <v>1856</v>
      </c>
      <c r="K47" s="4">
        <v>1856</v>
      </c>
      <c r="L47" s="4">
        <v>0</v>
      </c>
      <c r="M47" s="4">
        <v>0</v>
      </c>
      <c r="N47" s="4">
        <v>0</v>
      </c>
      <c r="O47" s="4">
        <v>0</v>
      </c>
      <c r="P47" s="4">
        <v>14</v>
      </c>
      <c r="Q47" s="3" t="s">
        <v>26</v>
      </c>
      <c r="R47" s="3">
        <v>0</v>
      </c>
      <c r="S47" s="3" t="s">
        <v>137</v>
      </c>
      <c r="U47" s="3">
        <v>46</v>
      </c>
      <c r="V47" s="3">
        <v>0</v>
      </c>
      <c r="W47" s="3">
        <v>0</v>
      </c>
    </row>
    <row r="48" spans="1:23" ht="11.25" customHeight="1" x14ac:dyDescent="0.25">
      <c r="A48" s="3" t="s">
        <v>21</v>
      </c>
      <c r="B48" s="3" t="s">
        <v>35</v>
      </c>
      <c r="C48" s="3" t="s">
        <v>39</v>
      </c>
      <c r="D48" s="3" t="s">
        <v>40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44743</v>
      </c>
      <c r="J48" s="4">
        <v>1909</v>
      </c>
      <c r="K48" s="4">
        <v>1909</v>
      </c>
      <c r="L48" s="4">
        <v>0</v>
      </c>
      <c r="M48" s="4">
        <v>0</v>
      </c>
      <c r="N48" s="4">
        <v>0</v>
      </c>
      <c r="O48" s="4">
        <v>0</v>
      </c>
      <c r="P48" s="4">
        <v>14</v>
      </c>
      <c r="Q48" s="3" t="s">
        <v>26</v>
      </c>
      <c r="R48" s="3">
        <v>0</v>
      </c>
      <c r="S48" s="3" t="s">
        <v>138</v>
      </c>
      <c r="U48" s="3">
        <v>46</v>
      </c>
      <c r="V48" s="3">
        <v>0</v>
      </c>
      <c r="W48" s="3">
        <v>0</v>
      </c>
    </row>
    <row r="49" spans="1:23" ht="11.25" customHeight="1" x14ac:dyDescent="0.25">
      <c r="A49" s="3" t="s">
        <v>55</v>
      </c>
      <c r="B49" s="3" t="s">
        <v>35</v>
      </c>
      <c r="C49" s="3" t="s">
        <v>39</v>
      </c>
      <c r="D49" s="3" t="s">
        <v>40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44774</v>
      </c>
      <c r="J49" s="4">
        <v>1909</v>
      </c>
      <c r="K49" s="4">
        <v>1909</v>
      </c>
      <c r="L49" s="4">
        <v>0</v>
      </c>
      <c r="M49" s="4">
        <v>0</v>
      </c>
      <c r="N49" s="4">
        <v>0</v>
      </c>
      <c r="O49" s="4">
        <v>0</v>
      </c>
      <c r="P49" s="4">
        <v>14</v>
      </c>
      <c r="Q49" s="3" t="s">
        <v>26</v>
      </c>
      <c r="R49" s="3">
        <v>0</v>
      </c>
      <c r="S49" s="3" t="s">
        <v>139</v>
      </c>
      <c r="U49" s="3">
        <v>46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44440</v>
      </c>
      <c r="J50" s="4">
        <v>0</v>
      </c>
      <c r="K50" s="4">
        <v>0</v>
      </c>
      <c r="L50" s="4">
        <v>6.7729999999999997</v>
      </c>
      <c r="M50" s="4">
        <v>6.7729999999999997</v>
      </c>
      <c r="N50" s="4">
        <v>6.7729999999999997</v>
      </c>
      <c r="O50" s="4">
        <v>6.7729999999999997</v>
      </c>
      <c r="P50" s="4">
        <v>0</v>
      </c>
      <c r="Q50" s="3" t="s">
        <v>26</v>
      </c>
      <c r="R50" s="3">
        <v>0</v>
      </c>
      <c r="S50" s="3" t="s">
        <v>140</v>
      </c>
      <c r="T50" s="3" t="s">
        <v>297</v>
      </c>
      <c r="U50" s="3">
        <v>0</v>
      </c>
      <c r="V50" s="3">
        <v>35</v>
      </c>
      <c r="W50" s="3">
        <v>70</v>
      </c>
    </row>
    <row r="51" spans="1:23" ht="11.25" customHeight="1" x14ac:dyDescent="0.25">
      <c r="A51" s="3" t="s">
        <v>21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44470</v>
      </c>
      <c r="J51" s="4">
        <v>0</v>
      </c>
      <c r="K51" s="4">
        <v>0</v>
      </c>
      <c r="L51" s="4">
        <v>6.4610000000000003</v>
      </c>
      <c r="M51" s="4">
        <v>6.4610000000000003</v>
      </c>
      <c r="N51" s="4">
        <v>6.4610000000000003</v>
      </c>
      <c r="O51" s="4">
        <v>6.4610000000000003</v>
      </c>
      <c r="P51" s="4">
        <v>0</v>
      </c>
      <c r="Q51" s="3" t="s">
        <v>26</v>
      </c>
      <c r="R51" s="3">
        <v>0</v>
      </c>
      <c r="S51" s="3" t="s">
        <v>141</v>
      </c>
      <c r="T51" s="3" t="s">
        <v>298</v>
      </c>
      <c r="U51" s="3">
        <v>0</v>
      </c>
      <c r="V51" s="3">
        <v>35</v>
      </c>
      <c r="W51" s="3">
        <v>70</v>
      </c>
    </row>
    <row r="52" spans="1:2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44501</v>
      </c>
      <c r="J52" s="4">
        <v>0</v>
      </c>
      <c r="K52" s="4">
        <v>0</v>
      </c>
      <c r="L52" s="4">
        <v>6.62</v>
      </c>
      <c r="M52" s="4">
        <v>6.62</v>
      </c>
      <c r="N52" s="4">
        <v>6.62</v>
      </c>
      <c r="O52" s="4">
        <v>6.62</v>
      </c>
      <c r="P52" s="4">
        <v>0</v>
      </c>
      <c r="Q52" s="3" t="s">
        <v>26</v>
      </c>
      <c r="R52" s="3">
        <v>0</v>
      </c>
      <c r="S52" s="3" t="s">
        <v>142</v>
      </c>
      <c r="T52" s="3" t="s">
        <v>299</v>
      </c>
      <c r="U52" s="3">
        <v>0</v>
      </c>
      <c r="V52" s="3">
        <v>35</v>
      </c>
      <c r="W52" s="3">
        <v>70</v>
      </c>
    </row>
    <row r="53" spans="1:2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44531</v>
      </c>
      <c r="J53" s="4">
        <v>0</v>
      </c>
      <c r="K53" s="4">
        <v>0</v>
      </c>
      <c r="L53" s="4">
        <v>7.5380000000000003</v>
      </c>
      <c r="M53" s="4">
        <v>7.5380000000000003</v>
      </c>
      <c r="N53" s="4">
        <v>7.5380000000000003</v>
      </c>
      <c r="O53" s="4">
        <v>7.5380000000000003</v>
      </c>
      <c r="P53" s="4">
        <v>0</v>
      </c>
      <c r="Q53" s="3" t="s">
        <v>26</v>
      </c>
      <c r="R53" s="3">
        <v>0</v>
      </c>
      <c r="S53" s="3" t="s">
        <v>143</v>
      </c>
      <c r="T53" s="3" t="s">
        <v>300</v>
      </c>
      <c r="U53" s="3">
        <v>0</v>
      </c>
      <c r="V53" s="3">
        <v>35</v>
      </c>
      <c r="W53" s="3">
        <v>70</v>
      </c>
    </row>
    <row r="54" spans="1:23" ht="11.25" customHeight="1" x14ac:dyDescent="0.25">
      <c r="A54" s="3" t="s">
        <v>21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44562</v>
      </c>
      <c r="J54" s="4">
        <v>0</v>
      </c>
      <c r="K54" s="4">
        <v>0</v>
      </c>
      <c r="L54" s="4">
        <v>9.1140000000000008</v>
      </c>
      <c r="M54" s="4">
        <v>9.1140000000000008</v>
      </c>
      <c r="N54" s="4">
        <v>9.1140000000000008</v>
      </c>
      <c r="O54" s="4">
        <v>9.1140000000000008</v>
      </c>
      <c r="P54" s="4">
        <v>0</v>
      </c>
      <c r="Q54" s="3" t="s">
        <v>26</v>
      </c>
      <c r="R54" s="3">
        <v>0</v>
      </c>
      <c r="S54" s="3" t="s">
        <v>144</v>
      </c>
      <c r="T54" s="3" t="s">
        <v>301</v>
      </c>
      <c r="U54" s="3">
        <v>0</v>
      </c>
      <c r="V54" s="3">
        <v>35</v>
      </c>
      <c r="W54" s="3">
        <v>70</v>
      </c>
    </row>
    <row r="55" spans="1:2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44593</v>
      </c>
      <c r="J55" s="4">
        <v>0</v>
      </c>
      <c r="K55" s="4">
        <v>0</v>
      </c>
      <c r="L55" s="4">
        <v>8.3879999999999999</v>
      </c>
      <c r="M55" s="4">
        <v>8.3879999999999999</v>
      </c>
      <c r="N55" s="4">
        <v>8.3879999999999999</v>
      </c>
      <c r="O55" s="4">
        <v>8.3879999999999999</v>
      </c>
      <c r="P55" s="4">
        <v>0</v>
      </c>
      <c r="Q55" s="3" t="s">
        <v>26</v>
      </c>
      <c r="R55" s="3">
        <v>0</v>
      </c>
      <c r="S55" s="3" t="s">
        <v>145</v>
      </c>
      <c r="T55" s="3" t="s">
        <v>302</v>
      </c>
      <c r="U55" s="3">
        <v>0</v>
      </c>
      <c r="V55" s="3">
        <v>35</v>
      </c>
      <c r="W55" s="3">
        <v>70</v>
      </c>
    </row>
    <row r="56" spans="1:23" ht="11.25" customHeight="1" x14ac:dyDescent="0.25">
      <c r="A56" s="3" t="s">
        <v>21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44621</v>
      </c>
      <c r="J56" s="4">
        <v>0</v>
      </c>
      <c r="K56" s="4">
        <v>0</v>
      </c>
      <c r="L56" s="4">
        <v>7.5679999999999996</v>
      </c>
      <c r="M56" s="4">
        <v>7.5679999999999996</v>
      </c>
      <c r="N56" s="4">
        <v>7.5679999999999996</v>
      </c>
      <c r="O56" s="4">
        <v>7.5679999999999996</v>
      </c>
      <c r="P56" s="4">
        <v>0</v>
      </c>
      <c r="Q56" s="3" t="s">
        <v>26</v>
      </c>
      <c r="R56" s="3">
        <v>0</v>
      </c>
      <c r="S56" s="3" t="s">
        <v>146</v>
      </c>
      <c r="T56" s="3" t="s">
        <v>303</v>
      </c>
      <c r="U56" s="3">
        <v>0</v>
      </c>
      <c r="V56" s="3">
        <v>35</v>
      </c>
      <c r="W56" s="3">
        <v>70</v>
      </c>
    </row>
    <row r="57" spans="1:2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44652</v>
      </c>
      <c r="J57" s="4">
        <v>0</v>
      </c>
      <c r="K57" s="4">
        <v>0</v>
      </c>
      <c r="L57" s="4">
        <v>8.1709999999999994</v>
      </c>
      <c r="M57" s="4">
        <v>8.1709999999999994</v>
      </c>
      <c r="N57" s="4">
        <v>8.1709999999999994</v>
      </c>
      <c r="O57" s="4">
        <v>8.1709999999999994</v>
      </c>
      <c r="P57" s="4">
        <v>0</v>
      </c>
      <c r="Q57" s="3" t="s">
        <v>26</v>
      </c>
      <c r="R57" s="3">
        <v>0</v>
      </c>
      <c r="S57" s="3" t="s">
        <v>147</v>
      </c>
      <c r="T57" s="3" t="s">
        <v>304</v>
      </c>
      <c r="U57" s="3">
        <v>0</v>
      </c>
      <c r="V57" s="3">
        <v>35</v>
      </c>
      <c r="W57" s="3">
        <v>70</v>
      </c>
    </row>
    <row r="58" spans="1:23" ht="11.25" customHeight="1" x14ac:dyDescent="0.25">
      <c r="A58" s="3" t="s">
        <v>21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44682</v>
      </c>
      <c r="J58" s="4">
        <v>0</v>
      </c>
      <c r="K58" s="4">
        <v>0</v>
      </c>
      <c r="L58" s="4">
        <v>6.6189999999999998</v>
      </c>
      <c r="M58" s="4">
        <v>6.6189999999999998</v>
      </c>
      <c r="N58" s="4">
        <v>6.6189999999999998</v>
      </c>
      <c r="O58" s="4">
        <v>6.6189999999999998</v>
      </c>
      <c r="P58" s="4">
        <v>0</v>
      </c>
      <c r="Q58" s="3" t="s">
        <v>26</v>
      </c>
      <c r="R58" s="3">
        <v>0</v>
      </c>
      <c r="S58" s="3" t="s">
        <v>148</v>
      </c>
      <c r="T58" s="3" t="s">
        <v>305</v>
      </c>
      <c r="U58" s="3">
        <v>0</v>
      </c>
      <c r="V58" s="3">
        <v>35</v>
      </c>
      <c r="W58" s="3">
        <v>70</v>
      </c>
    </row>
    <row r="59" spans="1:2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44713</v>
      </c>
      <c r="J59" s="4">
        <v>0</v>
      </c>
      <c r="K59" s="4">
        <v>0</v>
      </c>
      <c r="L59" s="4">
        <v>6.8630000000000004</v>
      </c>
      <c r="M59" s="4">
        <v>6.8630000000000004</v>
      </c>
      <c r="N59" s="4">
        <v>6.8630000000000004</v>
      </c>
      <c r="O59" s="4">
        <v>6.8630000000000004</v>
      </c>
      <c r="P59" s="4">
        <v>0</v>
      </c>
      <c r="Q59" s="3" t="s">
        <v>26</v>
      </c>
      <c r="R59" s="3">
        <v>0</v>
      </c>
      <c r="S59" s="3" t="s">
        <v>149</v>
      </c>
      <c r="T59" s="3" t="s">
        <v>306</v>
      </c>
      <c r="U59" s="3">
        <v>0</v>
      </c>
      <c r="V59" s="3">
        <v>35</v>
      </c>
      <c r="W59" s="3">
        <v>70</v>
      </c>
    </row>
    <row r="60" spans="1:2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44743</v>
      </c>
      <c r="J60" s="4">
        <v>0</v>
      </c>
      <c r="K60" s="4">
        <v>0</v>
      </c>
      <c r="L60" s="4">
        <v>6.944</v>
      </c>
      <c r="M60" s="4">
        <v>6.944</v>
      </c>
      <c r="N60" s="4">
        <v>6.944</v>
      </c>
      <c r="O60" s="4">
        <v>6.944</v>
      </c>
      <c r="P60" s="4">
        <v>0</v>
      </c>
      <c r="Q60" s="3" t="s">
        <v>26</v>
      </c>
      <c r="R60" s="3">
        <v>0</v>
      </c>
      <c r="S60" s="3" t="s">
        <v>150</v>
      </c>
      <c r="T60" s="3" t="s">
        <v>307</v>
      </c>
      <c r="U60" s="3">
        <v>0</v>
      </c>
      <c r="V60" s="3">
        <v>35</v>
      </c>
      <c r="W60" s="3">
        <v>70</v>
      </c>
    </row>
    <row r="61" spans="1:23" ht="11.25" customHeight="1" x14ac:dyDescent="0.25">
      <c r="A61" s="3" t="s">
        <v>55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44774</v>
      </c>
      <c r="J61" s="4">
        <v>0</v>
      </c>
      <c r="K61" s="4">
        <v>0</v>
      </c>
      <c r="L61" s="4">
        <v>6.944</v>
      </c>
      <c r="M61" s="4">
        <v>6.944</v>
      </c>
      <c r="N61" s="4">
        <v>6.944</v>
      </c>
      <c r="O61" s="4">
        <v>6.944</v>
      </c>
      <c r="P61" s="4">
        <v>0</v>
      </c>
      <c r="Q61" s="3" t="s">
        <v>26</v>
      </c>
      <c r="R61" s="3">
        <v>0</v>
      </c>
      <c r="S61" s="3" t="s">
        <v>151</v>
      </c>
      <c r="T61" s="3" t="s">
        <v>308</v>
      </c>
      <c r="U61" s="3">
        <v>0</v>
      </c>
      <c r="V61" s="3">
        <v>35</v>
      </c>
      <c r="W61" s="3">
        <v>70</v>
      </c>
    </row>
    <row r="62" spans="1:23" ht="11.25" customHeight="1" x14ac:dyDescent="0.25">
      <c r="A62" s="3" t="s">
        <v>21</v>
      </c>
      <c r="B62" s="3" t="s">
        <v>35</v>
      </c>
      <c r="C62" s="3" t="s">
        <v>39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44440</v>
      </c>
      <c r="J62" s="4">
        <v>0</v>
      </c>
      <c r="K62" s="4">
        <v>0</v>
      </c>
      <c r="L62" s="4">
        <v>5616.2790000000005</v>
      </c>
      <c r="M62" s="4">
        <v>5616.2790000000005</v>
      </c>
      <c r="N62" s="4">
        <v>5616.2790000000005</v>
      </c>
      <c r="O62" s="4">
        <v>5616.2790000000005</v>
      </c>
      <c r="P62" s="4">
        <v>0</v>
      </c>
      <c r="Q62" s="3" t="s">
        <v>26</v>
      </c>
      <c r="R62" s="3">
        <v>0</v>
      </c>
      <c r="S62" s="3" t="s">
        <v>116</v>
      </c>
      <c r="T62" s="3" t="s">
        <v>285</v>
      </c>
      <c r="U62" s="3">
        <v>0</v>
      </c>
      <c r="V62" s="3">
        <v>50</v>
      </c>
      <c r="W62" s="3">
        <v>61</v>
      </c>
    </row>
    <row r="63" spans="1:23" ht="11.25" customHeight="1" x14ac:dyDescent="0.25">
      <c r="A63" s="3" t="s">
        <v>28</v>
      </c>
      <c r="B63" s="3" t="s">
        <v>35</v>
      </c>
      <c r="C63" s="3" t="s">
        <v>39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44440</v>
      </c>
      <c r="J63" s="4">
        <v>0</v>
      </c>
      <c r="K63" s="4">
        <v>0</v>
      </c>
      <c r="L63" s="4">
        <v>7.6340000000000003</v>
      </c>
      <c r="M63" s="4">
        <v>7.6340000000000003</v>
      </c>
      <c r="N63" s="4">
        <v>7.6340000000000003</v>
      </c>
      <c r="O63" s="4">
        <v>7.6340000000000003</v>
      </c>
      <c r="P63" s="4">
        <v>0</v>
      </c>
      <c r="Q63" s="3" t="s">
        <v>26</v>
      </c>
      <c r="R63" s="3">
        <v>0</v>
      </c>
      <c r="S63" s="3" t="s">
        <v>116</v>
      </c>
      <c r="T63" s="3" t="s">
        <v>285</v>
      </c>
      <c r="U63" s="3">
        <v>0</v>
      </c>
      <c r="V63" s="3">
        <v>50</v>
      </c>
      <c r="W63" s="3">
        <v>61</v>
      </c>
    </row>
    <row r="64" spans="1:23" ht="11.25" customHeight="1" x14ac:dyDescent="0.25">
      <c r="A64" s="3" t="s">
        <v>21</v>
      </c>
      <c r="B64" s="3" t="s">
        <v>35</v>
      </c>
      <c r="C64" s="3" t="s">
        <v>39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44470</v>
      </c>
      <c r="J64" s="4">
        <v>0</v>
      </c>
      <c r="K64" s="4">
        <v>0</v>
      </c>
      <c r="L64" s="4">
        <v>5619.0429999999997</v>
      </c>
      <c r="M64" s="4">
        <v>5619.0429999999997</v>
      </c>
      <c r="N64" s="4">
        <v>5619.0429999999997</v>
      </c>
      <c r="O64" s="4">
        <v>5619.0429999999997</v>
      </c>
      <c r="P64" s="4">
        <v>0</v>
      </c>
      <c r="Q64" s="3" t="s">
        <v>26</v>
      </c>
      <c r="R64" s="3">
        <v>0</v>
      </c>
      <c r="S64" s="3" t="s">
        <v>117</v>
      </c>
      <c r="T64" s="3" t="s">
        <v>286</v>
      </c>
      <c r="U64" s="3">
        <v>0</v>
      </c>
      <c r="V64" s="3">
        <v>50</v>
      </c>
      <c r="W64" s="3">
        <v>61</v>
      </c>
    </row>
    <row r="65" spans="1:23" ht="11.25" customHeight="1" x14ac:dyDescent="0.25">
      <c r="A65" s="3" t="s">
        <v>28</v>
      </c>
      <c r="B65" s="3" t="s">
        <v>35</v>
      </c>
      <c r="C65" s="3" t="s">
        <v>39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44470</v>
      </c>
      <c r="J65" s="4">
        <v>0</v>
      </c>
      <c r="K65" s="4">
        <v>0</v>
      </c>
      <c r="L65" s="4">
        <v>7.26</v>
      </c>
      <c r="M65" s="4">
        <v>7.26</v>
      </c>
      <c r="N65" s="4">
        <v>7.26</v>
      </c>
      <c r="O65" s="4">
        <v>7.26</v>
      </c>
      <c r="P65" s="4">
        <v>0</v>
      </c>
      <c r="Q65" s="3" t="s">
        <v>26</v>
      </c>
      <c r="R65" s="3">
        <v>0</v>
      </c>
      <c r="S65" s="3" t="s">
        <v>117</v>
      </c>
      <c r="T65" s="3" t="s">
        <v>286</v>
      </c>
      <c r="U65" s="3">
        <v>0</v>
      </c>
      <c r="V65" s="3">
        <v>50</v>
      </c>
      <c r="W65" s="3">
        <v>61</v>
      </c>
    </row>
    <row r="66" spans="1:23" ht="11.25" customHeight="1" x14ac:dyDescent="0.25">
      <c r="A66" s="3" t="s">
        <v>21</v>
      </c>
      <c r="B66" s="3" t="s">
        <v>35</v>
      </c>
      <c r="C66" s="3" t="s">
        <v>39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44501</v>
      </c>
      <c r="J66" s="4">
        <v>0</v>
      </c>
      <c r="K66" s="4">
        <v>0</v>
      </c>
      <c r="L66" s="4">
        <v>5626.1220000000003</v>
      </c>
      <c r="M66" s="4">
        <v>5626.1220000000003</v>
      </c>
      <c r="N66" s="4">
        <v>5626.1220000000003</v>
      </c>
      <c r="O66" s="4">
        <v>5626.1220000000003</v>
      </c>
      <c r="P66" s="4">
        <v>0</v>
      </c>
      <c r="Q66" s="3" t="s">
        <v>26</v>
      </c>
      <c r="R66" s="3">
        <v>0</v>
      </c>
      <c r="S66" s="3" t="s">
        <v>118</v>
      </c>
      <c r="T66" s="3" t="s">
        <v>287</v>
      </c>
      <c r="U66" s="3">
        <v>0</v>
      </c>
      <c r="V66" s="3">
        <v>50</v>
      </c>
      <c r="W66" s="3">
        <v>61</v>
      </c>
    </row>
    <row r="67" spans="1:23" ht="11.25" customHeight="1" x14ac:dyDescent="0.25">
      <c r="A67" s="3" t="s">
        <v>28</v>
      </c>
      <c r="B67" s="3" t="s">
        <v>35</v>
      </c>
      <c r="C67" s="3" t="s">
        <v>39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44501</v>
      </c>
      <c r="J67" s="4">
        <v>0</v>
      </c>
      <c r="K67" s="4">
        <v>0</v>
      </c>
      <c r="L67" s="4">
        <v>4.7830000000000004</v>
      </c>
      <c r="M67" s="4">
        <v>4.7830000000000004</v>
      </c>
      <c r="N67" s="4">
        <v>4.7830000000000004</v>
      </c>
      <c r="O67" s="4">
        <v>4.7830000000000004</v>
      </c>
      <c r="P67" s="4">
        <v>0</v>
      </c>
      <c r="Q67" s="3" t="s">
        <v>26</v>
      </c>
      <c r="R67" s="3">
        <v>0</v>
      </c>
      <c r="S67" s="3" t="s">
        <v>118</v>
      </c>
      <c r="T67" s="3" t="s">
        <v>287</v>
      </c>
      <c r="U67" s="3">
        <v>0</v>
      </c>
      <c r="V67" s="3">
        <v>50</v>
      </c>
      <c r="W67" s="3">
        <v>61</v>
      </c>
    </row>
    <row r="68" spans="1:23" ht="11.25" customHeight="1" x14ac:dyDescent="0.25">
      <c r="A68" s="3" t="s">
        <v>21</v>
      </c>
      <c r="B68" s="3" t="s">
        <v>35</v>
      </c>
      <c r="C68" s="3" t="s">
        <v>39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44531</v>
      </c>
      <c r="J68" s="4">
        <v>0</v>
      </c>
      <c r="K68" s="4">
        <v>0</v>
      </c>
      <c r="L68" s="4">
        <v>5565.7330000000002</v>
      </c>
      <c r="M68" s="4">
        <v>5565.7330000000002</v>
      </c>
      <c r="N68" s="4">
        <v>5565.7330000000002</v>
      </c>
      <c r="O68" s="4">
        <v>5565.7330000000002</v>
      </c>
      <c r="P68" s="4">
        <v>0</v>
      </c>
      <c r="Q68" s="3" t="s">
        <v>26</v>
      </c>
      <c r="R68" s="3">
        <v>0</v>
      </c>
      <c r="S68" s="3" t="s">
        <v>119</v>
      </c>
      <c r="T68" s="3" t="s">
        <v>288</v>
      </c>
      <c r="U68" s="3">
        <v>0</v>
      </c>
      <c r="V68" s="3">
        <v>50</v>
      </c>
      <c r="W68" s="3">
        <v>61</v>
      </c>
    </row>
    <row r="69" spans="1:23" ht="11.25" customHeight="1" x14ac:dyDescent="0.25">
      <c r="A69" s="3" t="s">
        <v>21</v>
      </c>
      <c r="B69" s="3" t="s">
        <v>35</v>
      </c>
      <c r="C69" s="3" t="s">
        <v>39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44562</v>
      </c>
      <c r="J69" s="4">
        <v>0</v>
      </c>
      <c r="K69" s="4">
        <v>0</v>
      </c>
      <c r="L69" s="4">
        <v>4959.33</v>
      </c>
      <c r="M69" s="4">
        <v>4959.33</v>
      </c>
      <c r="N69" s="4">
        <v>4959.33</v>
      </c>
      <c r="O69" s="4">
        <v>4959.33</v>
      </c>
      <c r="P69" s="4">
        <v>0</v>
      </c>
      <c r="Q69" s="3" t="s">
        <v>26</v>
      </c>
      <c r="R69" s="3">
        <v>0</v>
      </c>
      <c r="S69" s="3" t="s">
        <v>120</v>
      </c>
      <c r="T69" s="3" t="s">
        <v>289</v>
      </c>
      <c r="U69" s="3">
        <v>0</v>
      </c>
      <c r="V69" s="3">
        <v>50</v>
      </c>
      <c r="W69" s="3">
        <v>61</v>
      </c>
    </row>
    <row r="70" spans="1:23" ht="11.25" customHeight="1" x14ac:dyDescent="0.25">
      <c r="A70" s="3" t="s">
        <v>21</v>
      </c>
      <c r="B70" s="3" t="s">
        <v>35</v>
      </c>
      <c r="C70" s="3" t="s">
        <v>39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44593</v>
      </c>
      <c r="J70" s="4">
        <v>0</v>
      </c>
      <c r="K70" s="4">
        <v>0</v>
      </c>
      <c r="L70" s="4">
        <v>5092.2809999999999</v>
      </c>
      <c r="M70" s="4">
        <v>5092.2809999999999</v>
      </c>
      <c r="N70" s="4">
        <v>5092.2809999999999</v>
      </c>
      <c r="O70" s="4">
        <v>5092.2809999999999</v>
      </c>
      <c r="P70" s="4">
        <v>0</v>
      </c>
      <c r="Q70" s="3" t="s">
        <v>26</v>
      </c>
      <c r="R70" s="3">
        <v>0</v>
      </c>
      <c r="S70" s="3" t="s">
        <v>121</v>
      </c>
      <c r="T70" s="3" t="s">
        <v>290</v>
      </c>
      <c r="U70" s="3">
        <v>0</v>
      </c>
      <c r="V70" s="3">
        <v>50</v>
      </c>
      <c r="W70" s="3">
        <v>61</v>
      </c>
    </row>
    <row r="71" spans="1:23" ht="11.25" customHeight="1" x14ac:dyDescent="0.25">
      <c r="A71" s="3" t="s">
        <v>21</v>
      </c>
      <c r="B71" s="3" t="s">
        <v>35</v>
      </c>
      <c r="C71" s="3" t="s">
        <v>39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38</v>
      </c>
      <c r="I71" s="6">
        <v>44621</v>
      </c>
      <c r="J71" s="4">
        <v>0</v>
      </c>
      <c r="K71" s="4">
        <v>0</v>
      </c>
      <c r="L71" s="4">
        <v>5276.2020000000002</v>
      </c>
      <c r="M71" s="4">
        <v>5276.2020000000002</v>
      </c>
      <c r="N71" s="4">
        <v>5276.2020000000002</v>
      </c>
      <c r="O71" s="4">
        <v>5276.2020000000002</v>
      </c>
      <c r="P71" s="4">
        <v>0</v>
      </c>
      <c r="Q71" s="3" t="s">
        <v>26</v>
      </c>
      <c r="R71" s="3">
        <v>0</v>
      </c>
      <c r="S71" s="3" t="s">
        <v>122</v>
      </c>
      <c r="T71" s="3" t="s">
        <v>291</v>
      </c>
      <c r="U71" s="3">
        <v>0</v>
      </c>
      <c r="V71" s="3">
        <v>50</v>
      </c>
      <c r="W71" s="3">
        <v>61</v>
      </c>
    </row>
    <row r="72" spans="1:23" ht="11.25" customHeight="1" x14ac:dyDescent="0.25">
      <c r="A72" s="3" t="s">
        <v>28</v>
      </c>
      <c r="B72" s="3" t="s">
        <v>35</v>
      </c>
      <c r="C72" s="3" t="s">
        <v>39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38</v>
      </c>
      <c r="I72" s="6">
        <v>44621</v>
      </c>
      <c r="J72" s="4">
        <v>0</v>
      </c>
      <c r="K72" s="4">
        <v>0</v>
      </c>
      <c r="L72" s="4">
        <v>2.254</v>
      </c>
      <c r="M72" s="4">
        <v>2.254</v>
      </c>
      <c r="N72" s="4">
        <v>2.254</v>
      </c>
      <c r="O72" s="4">
        <v>2.254</v>
      </c>
      <c r="P72" s="4">
        <v>0</v>
      </c>
      <c r="Q72" s="3" t="s">
        <v>26</v>
      </c>
      <c r="R72" s="3">
        <v>0</v>
      </c>
      <c r="S72" s="3" t="s">
        <v>122</v>
      </c>
      <c r="T72" s="3" t="s">
        <v>291</v>
      </c>
      <c r="U72" s="3">
        <v>0</v>
      </c>
      <c r="V72" s="3">
        <v>50</v>
      </c>
      <c r="W72" s="3">
        <v>61</v>
      </c>
    </row>
    <row r="73" spans="1:23" ht="11.25" customHeight="1" x14ac:dyDescent="0.25">
      <c r="A73" s="3" t="s">
        <v>21</v>
      </c>
      <c r="B73" s="3" t="s">
        <v>35</v>
      </c>
      <c r="C73" s="3" t="s">
        <v>39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38</v>
      </c>
      <c r="I73" s="6">
        <v>44652</v>
      </c>
      <c r="J73" s="4">
        <v>0</v>
      </c>
      <c r="K73" s="4">
        <v>0</v>
      </c>
      <c r="L73" s="4">
        <v>5949.9269999999997</v>
      </c>
      <c r="M73" s="4">
        <v>5949.9269999999997</v>
      </c>
      <c r="N73" s="4">
        <v>5949.9269999999997</v>
      </c>
      <c r="O73" s="4">
        <v>5949.9269999999997</v>
      </c>
      <c r="P73" s="4">
        <v>0</v>
      </c>
      <c r="Q73" s="3" t="s">
        <v>26</v>
      </c>
      <c r="R73" s="3">
        <v>0</v>
      </c>
      <c r="S73" s="3" t="s">
        <v>123</v>
      </c>
      <c r="T73" s="3" t="s">
        <v>292</v>
      </c>
      <c r="U73" s="3">
        <v>0</v>
      </c>
      <c r="V73" s="3">
        <v>50</v>
      </c>
      <c r="W73" s="3">
        <v>61</v>
      </c>
    </row>
    <row r="74" spans="1:23" ht="11.25" customHeight="1" x14ac:dyDescent="0.25">
      <c r="A74" s="3" t="s">
        <v>28</v>
      </c>
      <c r="B74" s="3" t="s">
        <v>35</v>
      </c>
      <c r="C74" s="3" t="s">
        <v>39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44652</v>
      </c>
      <c r="J74" s="4">
        <v>0</v>
      </c>
      <c r="K74" s="4">
        <v>0</v>
      </c>
      <c r="L74" s="4">
        <v>2.472</v>
      </c>
      <c r="M74" s="4">
        <v>2.472</v>
      </c>
      <c r="N74" s="4">
        <v>2.472</v>
      </c>
      <c r="O74" s="4">
        <v>2.472</v>
      </c>
      <c r="P74" s="4">
        <v>0</v>
      </c>
      <c r="Q74" s="3" t="s">
        <v>26</v>
      </c>
      <c r="R74" s="3">
        <v>0</v>
      </c>
      <c r="S74" s="3" t="s">
        <v>123</v>
      </c>
      <c r="T74" s="3" t="s">
        <v>292</v>
      </c>
      <c r="U74" s="3">
        <v>0</v>
      </c>
      <c r="V74" s="3">
        <v>50</v>
      </c>
      <c r="W74" s="3">
        <v>61</v>
      </c>
    </row>
    <row r="75" spans="1:23" ht="11.25" customHeight="1" x14ac:dyDescent="0.25">
      <c r="A75" s="3" t="s">
        <v>21</v>
      </c>
      <c r="B75" s="3" t="s">
        <v>35</v>
      </c>
      <c r="C75" s="3" t="s">
        <v>39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44682</v>
      </c>
      <c r="J75" s="4">
        <v>0</v>
      </c>
      <c r="K75" s="4">
        <v>0</v>
      </c>
      <c r="L75" s="4">
        <v>5911.1869999999999</v>
      </c>
      <c r="M75" s="4">
        <v>5911.1869999999999</v>
      </c>
      <c r="N75" s="4">
        <v>5911.1869999999999</v>
      </c>
      <c r="O75" s="4">
        <v>5911.1869999999999</v>
      </c>
      <c r="P75" s="4">
        <v>0</v>
      </c>
      <c r="Q75" s="3" t="s">
        <v>26</v>
      </c>
      <c r="R75" s="3">
        <v>0</v>
      </c>
      <c r="S75" s="3" t="s">
        <v>124</v>
      </c>
      <c r="T75" s="3" t="s">
        <v>293</v>
      </c>
      <c r="U75" s="3">
        <v>0</v>
      </c>
      <c r="V75" s="3">
        <v>50</v>
      </c>
      <c r="W75" s="3">
        <v>61</v>
      </c>
    </row>
    <row r="76" spans="1:23" ht="11.25" customHeight="1" x14ac:dyDescent="0.25">
      <c r="A76" s="3" t="s">
        <v>28</v>
      </c>
      <c r="B76" s="3" t="s">
        <v>35</v>
      </c>
      <c r="C76" s="3" t="s">
        <v>39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44682</v>
      </c>
      <c r="J76" s="4">
        <v>0</v>
      </c>
      <c r="K76" s="4">
        <v>0</v>
      </c>
      <c r="L76" s="4">
        <v>5.22</v>
      </c>
      <c r="M76" s="4">
        <v>5.22</v>
      </c>
      <c r="N76" s="4">
        <v>5.22</v>
      </c>
      <c r="O76" s="4">
        <v>5.22</v>
      </c>
      <c r="P76" s="4">
        <v>0</v>
      </c>
      <c r="Q76" s="3" t="s">
        <v>26</v>
      </c>
      <c r="R76" s="3">
        <v>0</v>
      </c>
      <c r="S76" s="3" t="s">
        <v>124</v>
      </c>
      <c r="T76" s="3" t="s">
        <v>293</v>
      </c>
      <c r="U76" s="3">
        <v>0</v>
      </c>
      <c r="V76" s="3">
        <v>50</v>
      </c>
      <c r="W76" s="3">
        <v>61</v>
      </c>
    </row>
    <row r="77" spans="1:23" ht="11.25" customHeight="1" x14ac:dyDescent="0.25">
      <c r="A77" s="3" t="s">
        <v>21</v>
      </c>
      <c r="B77" s="3" t="s">
        <v>35</v>
      </c>
      <c r="C77" s="3" t="s">
        <v>39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44713</v>
      </c>
      <c r="J77" s="4">
        <v>0</v>
      </c>
      <c r="K77" s="4">
        <v>0</v>
      </c>
      <c r="L77" s="4">
        <v>6039.3620000000001</v>
      </c>
      <c r="M77" s="4">
        <v>6039.3620000000001</v>
      </c>
      <c r="N77" s="4">
        <v>6039.3620000000001</v>
      </c>
      <c r="O77" s="4">
        <v>6039.3620000000001</v>
      </c>
      <c r="P77" s="4">
        <v>0</v>
      </c>
      <c r="Q77" s="3" t="s">
        <v>26</v>
      </c>
      <c r="R77" s="3">
        <v>0</v>
      </c>
      <c r="S77" s="3" t="s">
        <v>125</v>
      </c>
      <c r="T77" s="3" t="s">
        <v>294</v>
      </c>
      <c r="U77" s="3">
        <v>0</v>
      </c>
      <c r="V77" s="3">
        <v>50</v>
      </c>
      <c r="W77" s="3">
        <v>61</v>
      </c>
    </row>
    <row r="78" spans="1:23" ht="11.25" customHeight="1" x14ac:dyDescent="0.25">
      <c r="A78" s="3" t="s">
        <v>28</v>
      </c>
      <c r="B78" s="3" t="s">
        <v>35</v>
      </c>
      <c r="C78" s="3" t="s">
        <v>39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44713</v>
      </c>
      <c r="J78" s="4">
        <v>0</v>
      </c>
      <c r="K78" s="4">
        <v>0</v>
      </c>
      <c r="L78" s="4">
        <v>3.73</v>
      </c>
      <c r="M78" s="4">
        <v>3.73</v>
      </c>
      <c r="N78" s="4">
        <v>3.73</v>
      </c>
      <c r="O78" s="4">
        <v>3.73</v>
      </c>
      <c r="P78" s="4">
        <v>0</v>
      </c>
      <c r="Q78" s="3" t="s">
        <v>26</v>
      </c>
      <c r="R78" s="3">
        <v>0</v>
      </c>
      <c r="S78" s="3" t="s">
        <v>125</v>
      </c>
      <c r="T78" s="3" t="s">
        <v>294</v>
      </c>
      <c r="U78" s="3">
        <v>0</v>
      </c>
      <c r="V78" s="3">
        <v>50</v>
      </c>
      <c r="W78" s="3">
        <v>61</v>
      </c>
    </row>
    <row r="79" spans="1:23" ht="11.25" customHeight="1" x14ac:dyDescent="0.25">
      <c r="A79" s="3" t="s">
        <v>21</v>
      </c>
      <c r="B79" s="3" t="s">
        <v>35</v>
      </c>
      <c r="C79" s="3" t="s">
        <v>39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44743</v>
      </c>
      <c r="J79" s="4">
        <v>0</v>
      </c>
      <c r="K79" s="4">
        <v>0</v>
      </c>
      <c r="L79" s="4">
        <v>5803.6809999999996</v>
      </c>
      <c r="M79" s="4">
        <v>5803.6809999999996</v>
      </c>
      <c r="N79" s="4">
        <v>5803.6809999999996</v>
      </c>
      <c r="O79" s="4">
        <v>5803.6809999999996</v>
      </c>
      <c r="P79" s="4">
        <v>0</v>
      </c>
      <c r="Q79" s="3" t="s">
        <v>26</v>
      </c>
      <c r="R79" s="3">
        <v>0</v>
      </c>
      <c r="S79" s="3" t="s">
        <v>126</v>
      </c>
      <c r="T79" s="3" t="s">
        <v>295</v>
      </c>
      <c r="U79" s="3">
        <v>0</v>
      </c>
      <c r="V79" s="3">
        <v>50</v>
      </c>
      <c r="W79" s="3">
        <v>61</v>
      </c>
    </row>
    <row r="80" spans="1:23" ht="11.25" customHeight="1" x14ac:dyDescent="0.25">
      <c r="A80" s="3" t="s">
        <v>28</v>
      </c>
      <c r="B80" s="3" t="s">
        <v>35</v>
      </c>
      <c r="C80" s="3" t="s">
        <v>39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44743</v>
      </c>
      <c r="J80" s="4">
        <v>0</v>
      </c>
      <c r="K80" s="4">
        <v>0</v>
      </c>
      <c r="L80" s="4">
        <v>6.0250000000000004</v>
      </c>
      <c r="M80" s="4">
        <v>6.0250000000000004</v>
      </c>
      <c r="N80" s="4">
        <v>6.0250000000000004</v>
      </c>
      <c r="O80" s="4">
        <v>6.0250000000000004</v>
      </c>
      <c r="P80" s="4">
        <v>0</v>
      </c>
      <c r="Q80" s="3" t="s">
        <v>26</v>
      </c>
      <c r="R80" s="3">
        <v>0</v>
      </c>
      <c r="S80" s="3" t="s">
        <v>126</v>
      </c>
      <c r="T80" s="3" t="s">
        <v>295</v>
      </c>
      <c r="U80" s="3">
        <v>0</v>
      </c>
      <c r="V80" s="3">
        <v>50</v>
      </c>
      <c r="W80" s="3">
        <v>61</v>
      </c>
    </row>
    <row r="81" spans="1:23" ht="11.25" customHeight="1" x14ac:dyDescent="0.25">
      <c r="A81" s="3" t="s">
        <v>55</v>
      </c>
      <c r="B81" s="3" t="s">
        <v>35</v>
      </c>
      <c r="C81" s="3" t="s">
        <v>39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44774</v>
      </c>
      <c r="J81" s="4">
        <v>0</v>
      </c>
      <c r="K81" s="4">
        <v>0</v>
      </c>
      <c r="L81" s="4">
        <v>5803.6809999999996</v>
      </c>
      <c r="M81" s="4">
        <v>5803.6809999999996</v>
      </c>
      <c r="N81" s="4">
        <v>5803.6809999999996</v>
      </c>
      <c r="O81" s="4">
        <v>5803.6809999999996</v>
      </c>
      <c r="P81" s="4">
        <v>0</v>
      </c>
      <c r="Q81" s="3" t="s">
        <v>26</v>
      </c>
      <c r="R81" s="3">
        <v>0</v>
      </c>
      <c r="S81" s="3" t="s">
        <v>127</v>
      </c>
      <c r="T81" s="3" t="s">
        <v>296</v>
      </c>
      <c r="U81" s="3">
        <v>0</v>
      </c>
      <c r="V81" s="3">
        <v>50</v>
      </c>
      <c r="W81" s="3">
        <v>61</v>
      </c>
    </row>
    <row r="82" spans="1:23" ht="11.25" customHeight="1" x14ac:dyDescent="0.25">
      <c r="A82" s="3" t="s">
        <v>55</v>
      </c>
      <c r="B82" s="3" t="s">
        <v>35</v>
      </c>
      <c r="C82" s="3" t="s">
        <v>39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44774</v>
      </c>
      <c r="J82" s="4">
        <v>0</v>
      </c>
      <c r="K82" s="4">
        <v>0</v>
      </c>
      <c r="L82" s="4">
        <v>6.0250000000000004</v>
      </c>
      <c r="M82" s="4">
        <v>6.0250000000000004</v>
      </c>
      <c r="N82" s="4">
        <v>6.0250000000000004</v>
      </c>
      <c r="O82" s="4">
        <v>6.0250000000000004</v>
      </c>
      <c r="P82" s="4">
        <v>0</v>
      </c>
      <c r="Q82" s="3" t="s">
        <v>26</v>
      </c>
      <c r="R82" s="3">
        <v>0</v>
      </c>
      <c r="S82" s="3" t="s">
        <v>127</v>
      </c>
      <c r="T82" s="3" t="s">
        <v>296</v>
      </c>
      <c r="U82" s="3">
        <v>0</v>
      </c>
      <c r="V82" s="3">
        <v>50</v>
      </c>
      <c r="W82" s="3">
        <v>61</v>
      </c>
    </row>
    <row r="83" spans="1:23" ht="11.25" customHeight="1" x14ac:dyDescent="0.25">
      <c r="A83" s="3" t="s">
        <v>21</v>
      </c>
      <c r="B83" s="3" t="s">
        <v>35</v>
      </c>
      <c r="C83" s="3" t="s">
        <v>39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44440</v>
      </c>
      <c r="J83" s="4">
        <v>21263</v>
      </c>
      <c r="K83" s="4">
        <v>21263</v>
      </c>
      <c r="L83" s="4">
        <v>0</v>
      </c>
      <c r="M83" s="4">
        <v>0</v>
      </c>
      <c r="N83" s="4">
        <v>0</v>
      </c>
      <c r="O83" s="4">
        <v>0</v>
      </c>
      <c r="P83" s="4">
        <v>69</v>
      </c>
      <c r="Q83" s="3" t="s">
        <v>26</v>
      </c>
      <c r="R83" s="3">
        <v>0</v>
      </c>
      <c r="S83" s="3" t="s">
        <v>128</v>
      </c>
      <c r="U83" s="3">
        <v>46</v>
      </c>
      <c r="V83" s="3">
        <v>0</v>
      </c>
      <c r="W83" s="3">
        <v>0</v>
      </c>
    </row>
    <row r="84" spans="1:23" ht="11.25" customHeight="1" x14ac:dyDescent="0.25">
      <c r="A84" s="3" t="s">
        <v>28</v>
      </c>
      <c r="B84" s="3" t="s">
        <v>35</v>
      </c>
      <c r="C84" s="3" t="s">
        <v>39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44440</v>
      </c>
      <c r="J84" s="4">
        <v>227</v>
      </c>
      <c r="K84" s="4">
        <v>227</v>
      </c>
      <c r="L84" s="4">
        <v>0</v>
      </c>
      <c r="M84" s="4">
        <v>0</v>
      </c>
      <c r="N84" s="4">
        <v>0</v>
      </c>
      <c r="O84" s="4">
        <v>0</v>
      </c>
      <c r="P84" s="4">
        <v>2</v>
      </c>
      <c r="Q84" s="3" t="s">
        <v>26</v>
      </c>
      <c r="R84" s="3">
        <v>0</v>
      </c>
      <c r="S84" s="3" t="s">
        <v>128</v>
      </c>
      <c r="U84" s="3">
        <v>46</v>
      </c>
      <c r="V84" s="3">
        <v>0</v>
      </c>
      <c r="W84" s="3">
        <v>0</v>
      </c>
    </row>
    <row r="85" spans="1:23" ht="11.25" customHeight="1" x14ac:dyDescent="0.25">
      <c r="A85" s="3" t="s">
        <v>21</v>
      </c>
      <c r="B85" s="3" t="s">
        <v>35</v>
      </c>
      <c r="C85" s="3" t="s">
        <v>39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44470</v>
      </c>
      <c r="J85" s="4">
        <v>21128</v>
      </c>
      <c r="K85" s="4">
        <v>21128</v>
      </c>
      <c r="L85" s="4">
        <v>0</v>
      </c>
      <c r="M85" s="4">
        <v>0</v>
      </c>
      <c r="N85" s="4">
        <v>0</v>
      </c>
      <c r="O85" s="4">
        <v>0</v>
      </c>
      <c r="P85" s="4">
        <v>69</v>
      </c>
      <c r="Q85" s="3" t="s">
        <v>26</v>
      </c>
      <c r="R85" s="3">
        <v>0</v>
      </c>
      <c r="S85" s="3" t="s">
        <v>129</v>
      </c>
      <c r="U85" s="3">
        <v>46</v>
      </c>
      <c r="V85" s="3">
        <v>0</v>
      </c>
      <c r="W85" s="3">
        <v>0</v>
      </c>
    </row>
    <row r="86" spans="1:23" ht="11.25" customHeight="1" x14ac:dyDescent="0.25">
      <c r="A86" s="3" t="s">
        <v>28</v>
      </c>
      <c r="B86" s="3" t="s">
        <v>35</v>
      </c>
      <c r="C86" s="3" t="s">
        <v>39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44470</v>
      </c>
      <c r="J86" s="4">
        <v>255</v>
      </c>
      <c r="K86" s="4">
        <v>255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3" t="s">
        <v>26</v>
      </c>
      <c r="R86" s="3">
        <v>0</v>
      </c>
      <c r="S86" s="3" t="s">
        <v>129</v>
      </c>
      <c r="U86" s="3">
        <v>46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35</v>
      </c>
      <c r="C87" s="3" t="s">
        <v>39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44501</v>
      </c>
      <c r="J87" s="4">
        <v>21149</v>
      </c>
      <c r="K87" s="4">
        <v>21149</v>
      </c>
      <c r="L87" s="4">
        <v>0</v>
      </c>
      <c r="M87" s="4">
        <v>0</v>
      </c>
      <c r="N87" s="4">
        <v>0</v>
      </c>
      <c r="O87" s="4">
        <v>0</v>
      </c>
      <c r="P87" s="4">
        <v>69</v>
      </c>
      <c r="Q87" s="3" t="s">
        <v>26</v>
      </c>
      <c r="R87" s="3">
        <v>0</v>
      </c>
      <c r="S87" s="3" t="s">
        <v>130</v>
      </c>
      <c r="U87" s="3">
        <v>46</v>
      </c>
      <c r="V87" s="3">
        <v>0</v>
      </c>
      <c r="W87" s="3">
        <v>0</v>
      </c>
    </row>
    <row r="88" spans="1:23" ht="11.25" customHeight="1" x14ac:dyDescent="0.25">
      <c r="A88" s="3" t="s">
        <v>28</v>
      </c>
      <c r="B88" s="3" t="s">
        <v>35</v>
      </c>
      <c r="C88" s="3" t="s">
        <v>39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130</v>
      </c>
      <c r="K88" s="4">
        <v>130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3" t="s">
        <v>26</v>
      </c>
      <c r="R88" s="3">
        <v>0</v>
      </c>
      <c r="S88" s="3" t="s">
        <v>130</v>
      </c>
      <c r="U88" s="3">
        <v>46</v>
      </c>
      <c r="V88" s="3">
        <v>0</v>
      </c>
      <c r="W88" s="3">
        <v>0</v>
      </c>
    </row>
    <row r="89" spans="1:23" ht="11.25" customHeight="1" x14ac:dyDescent="0.25">
      <c r="A89" s="3" t="s">
        <v>21</v>
      </c>
      <c r="B89" s="3" t="s">
        <v>35</v>
      </c>
      <c r="C89" s="3" t="s">
        <v>39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21322</v>
      </c>
      <c r="K89" s="4">
        <v>21322</v>
      </c>
      <c r="L89" s="4">
        <v>0</v>
      </c>
      <c r="M89" s="4">
        <v>0</v>
      </c>
      <c r="N89" s="4">
        <v>0</v>
      </c>
      <c r="O89" s="4">
        <v>0</v>
      </c>
      <c r="P89" s="4">
        <v>69</v>
      </c>
      <c r="Q89" s="3" t="s">
        <v>26</v>
      </c>
      <c r="R89" s="3">
        <v>0</v>
      </c>
      <c r="S89" s="3" t="s">
        <v>131</v>
      </c>
      <c r="U89" s="3">
        <v>46</v>
      </c>
      <c r="V89" s="3">
        <v>0</v>
      </c>
      <c r="W89" s="3">
        <v>0</v>
      </c>
    </row>
    <row r="90" spans="1:23" ht="11.25" customHeight="1" x14ac:dyDescent="0.25">
      <c r="A90" s="3" t="s">
        <v>28</v>
      </c>
      <c r="B90" s="3" t="s">
        <v>35</v>
      </c>
      <c r="C90" s="3" t="s">
        <v>39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44531</v>
      </c>
      <c r="J90" s="4">
        <v>130</v>
      </c>
      <c r="K90" s="4">
        <v>130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3" t="s">
        <v>26</v>
      </c>
      <c r="R90" s="3">
        <v>0</v>
      </c>
      <c r="S90" s="3" t="s">
        <v>131</v>
      </c>
      <c r="U90" s="3">
        <v>46</v>
      </c>
      <c r="V90" s="3">
        <v>0</v>
      </c>
      <c r="W90" s="3">
        <v>0</v>
      </c>
    </row>
    <row r="91" spans="1:23" ht="11.25" customHeight="1" x14ac:dyDescent="0.25">
      <c r="A91" s="3" t="s">
        <v>21</v>
      </c>
      <c r="B91" s="3" t="s">
        <v>35</v>
      </c>
      <c r="C91" s="3" t="s">
        <v>39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44562</v>
      </c>
      <c r="J91" s="4">
        <v>21350</v>
      </c>
      <c r="K91" s="4">
        <v>21350</v>
      </c>
      <c r="L91" s="4">
        <v>0</v>
      </c>
      <c r="M91" s="4">
        <v>0</v>
      </c>
      <c r="N91" s="4">
        <v>0</v>
      </c>
      <c r="O91" s="4">
        <v>0</v>
      </c>
      <c r="P91" s="4">
        <v>70</v>
      </c>
      <c r="Q91" s="3" t="s">
        <v>26</v>
      </c>
      <c r="R91" s="3">
        <v>0</v>
      </c>
      <c r="S91" s="3" t="s">
        <v>132</v>
      </c>
      <c r="U91" s="3">
        <v>46</v>
      </c>
      <c r="V91" s="3">
        <v>0</v>
      </c>
      <c r="W91" s="3">
        <v>0</v>
      </c>
    </row>
    <row r="92" spans="1:23" ht="11.25" customHeight="1" x14ac:dyDescent="0.25">
      <c r="A92" s="3" t="s">
        <v>28</v>
      </c>
      <c r="B92" s="3" t="s">
        <v>35</v>
      </c>
      <c r="C92" s="3" t="s">
        <v>39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44562</v>
      </c>
      <c r="J92" s="4">
        <v>130</v>
      </c>
      <c r="K92" s="4">
        <v>130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3" t="s">
        <v>26</v>
      </c>
      <c r="R92" s="3">
        <v>0</v>
      </c>
      <c r="S92" s="3" t="s">
        <v>132</v>
      </c>
      <c r="U92" s="3">
        <v>46</v>
      </c>
      <c r="V92" s="3">
        <v>0</v>
      </c>
      <c r="W92" s="3">
        <v>0</v>
      </c>
    </row>
    <row r="93" spans="1:23" ht="11.25" customHeight="1" x14ac:dyDescent="0.25">
      <c r="A93" s="3" t="s">
        <v>21</v>
      </c>
      <c r="B93" s="3" t="s">
        <v>35</v>
      </c>
      <c r="C93" s="3" t="s">
        <v>39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44593</v>
      </c>
      <c r="J93" s="4">
        <v>21312</v>
      </c>
      <c r="K93" s="4">
        <v>21312</v>
      </c>
      <c r="L93" s="4">
        <v>0</v>
      </c>
      <c r="M93" s="4">
        <v>0</v>
      </c>
      <c r="N93" s="4">
        <v>0</v>
      </c>
      <c r="O93" s="4">
        <v>0</v>
      </c>
      <c r="P93" s="4">
        <v>69</v>
      </c>
      <c r="Q93" s="3" t="s">
        <v>26</v>
      </c>
      <c r="R93" s="3">
        <v>0</v>
      </c>
      <c r="S93" s="3" t="s">
        <v>133</v>
      </c>
      <c r="U93" s="3">
        <v>46</v>
      </c>
      <c r="V93" s="3">
        <v>0</v>
      </c>
      <c r="W93" s="3">
        <v>0</v>
      </c>
    </row>
    <row r="94" spans="1:23" ht="11.25" customHeight="1" x14ac:dyDescent="0.25">
      <c r="A94" s="3" t="s">
        <v>28</v>
      </c>
      <c r="B94" s="3" t="s">
        <v>35</v>
      </c>
      <c r="C94" s="3" t="s">
        <v>39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44593</v>
      </c>
      <c r="J94" s="4">
        <v>130</v>
      </c>
      <c r="K94" s="4">
        <v>130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3" t="s">
        <v>26</v>
      </c>
      <c r="R94" s="3">
        <v>0</v>
      </c>
      <c r="S94" s="3" t="s">
        <v>133</v>
      </c>
      <c r="U94" s="3">
        <v>46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35</v>
      </c>
      <c r="C95" s="3" t="s">
        <v>39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44621</v>
      </c>
      <c r="J95" s="4">
        <v>21284</v>
      </c>
      <c r="K95" s="4">
        <v>21284</v>
      </c>
      <c r="L95" s="4">
        <v>0</v>
      </c>
      <c r="M95" s="4">
        <v>0</v>
      </c>
      <c r="N95" s="4">
        <v>0</v>
      </c>
      <c r="O95" s="4">
        <v>0</v>
      </c>
      <c r="P95" s="4">
        <v>70</v>
      </c>
      <c r="Q95" s="3" t="s">
        <v>26</v>
      </c>
      <c r="R95" s="3">
        <v>0</v>
      </c>
      <c r="S95" s="3" t="s">
        <v>134</v>
      </c>
      <c r="U95" s="3">
        <v>46</v>
      </c>
      <c r="V95" s="3">
        <v>0</v>
      </c>
      <c r="W95" s="3">
        <v>0</v>
      </c>
    </row>
    <row r="96" spans="1:23" ht="11.25" customHeight="1" x14ac:dyDescent="0.25">
      <c r="A96" s="3" t="s">
        <v>28</v>
      </c>
      <c r="B96" s="3" t="s">
        <v>35</v>
      </c>
      <c r="C96" s="3" t="s">
        <v>39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44621</v>
      </c>
      <c r="J96" s="4">
        <v>130</v>
      </c>
      <c r="K96" s="4">
        <v>130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3" t="s">
        <v>26</v>
      </c>
      <c r="R96" s="3">
        <v>0</v>
      </c>
      <c r="S96" s="3" t="s">
        <v>134</v>
      </c>
      <c r="U96" s="3">
        <v>46</v>
      </c>
      <c r="V96" s="3">
        <v>0</v>
      </c>
      <c r="W96" s="3">
        <v>0</v>
      </c>
    </row>
    <row r="97" spans="1:23" ht="11.25" customHeight="1" x14ac:dyDescent="0.25">
      <c r="A97" s="3" t="s">
        <v>21</v>
      </c>
      <c r="B97" s="3" t="s">
        <v>35</v>
      </c>
      <c r="C97" s="3" t="s">
        <v>39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44652</v>
      </c>
      <c r="J97" s="4">
        <v>21330</v>
      </c>
      <c r="K97" s="4">
        <v>21330</v>
      </c>
      <c r="L97" s="4">
        <v>0</v>
      </c>
      <c r="M97" s="4">
        <v>0</v>
      </c>
      <c r="N97" s="4">
        <v>0</v>
      </c>
      <c r="O97" s="4">
        <v>0</v>
      </c>
      <c r="P97" s="4">
        <v>70</v>
      </c>
      <c r="Q97" s="3" t="s">
        <v>26</v>
      </c>
      <c r="R97" s="3">
        <v>0</v>
      </c>
      <c r="S97" s="3" t="s">
        <v>135</v>
      </c>
      <c r="U97" s="3">
        <v>46</v>
      </c>
      <c r="V97" s="3">
        <v>0</v>
      </c>
      <c r="W97" s="3">
        <v>0</v>
      </c>
    </row>
    <row r="98" spans="1:23" ht="11.25" customHeight="1" x14ac:dyDescent="0.25">
      <c r="A98" s="3" t="s">
        <v>28</v>
      </c>
      <c r="B98" s="3" t="s">
        <v>35</v>
      </c>
      <c r="C98" s="3" t="s">
        <v>39</v>
      </c>
      <c r="D98" s="3" t="s">
        <v>34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44652</v>
      </c>
      <c r="J98" s="4">
        <v>130</v>
      </c>
      <c r="K98" s="4">
        <v>130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3" t="s">
        <v>26</v>
      </c>
      <c r="R98" s="3">
        <v>0</v>
      </c>
      <c r="S98" s="3" t="s">
        <v>135</v>
      </c>
      <c r="U98" s="3">
        <v>46</v>
      </c>
      <c r="V98" s="3">
        <v>0</v>
      </c>
      <c r="W98" s="3">
        <v>0</v>
      </c>
    </row>
    <row r="99" spans="1:23" ht="11.25" customHeight="1" x14ac:dyDescent="0.25">
      <c r="A99" s="3" t="s">
        <v>21</v>
      </c>
      <c r="B99" s="3" t="s">
        <v>35</v>
      </c>
      <c r="C99" s="3" t="s">
        <v>39</v>
      </c>
      <c r="D99" s="3" t="s">
        <v>34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21932</v>
      </c>
      <c r="K99" s="4">
        <v>21932</v>
      </c>
      <c r="L99" s="4">
        <v>0</v>
      </c>
      <c r="M99" s="4">
        <v>0</v>
      </c>
      <c r="N99" s="4">
        <v>0</v>
      </c>
      <c r="O99" s="4">
        <v>0</v>
      </c>
      <c r="P99" s="4">
        <v>70</v>
      </c>
      <c r="Q99" s="3" t="s">
        <v>26</v>
      </c>
      <c r="R99" s="3">
        <v>0</v>
      </c>
      <c r="S99" s="3" t="s">
        <v>136</v>
      </c>
      <c r="U99" s="3">
        <v>46</v>
      </c>
      <c r="V99" s="3">
        <v>0</v>
      </c>
      <c r="W99" s="3">
        <v>0</v>
      </c>
    </row>
    <row r="100" spans="1:23" ht="11.25" customHeight="1" x14ac:dyDescent="0.25">
      <c r="A100" s="3" t="s">
        <v>28</v>
      </c>
      <c r="B100" s="3" t="s">
        <v>35</v>
      </c>
      <c r="C100" s="3" t="s">
        <v>39</v>
      </c>
      <c r="D100" s="3" t="s">
        <v>34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44682</v>
      </c>
      <c r="J100" s="4">
        <v>240</v>
      </c>
      <c r="K100" s="4">
        <v>240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26</v>
      </c>
      <c r="R100" s="3">
        <v>0</v>
      </c>
      <c r="S100" s="3" t="s">
        <v>136</v>
      </c>
      <c r="U100" s="3">
        <v>46</v>
      </c>
      <c r="V100" s="3">
        <v>0</v>
      </c>
      <c r="W100" s="3">
        <v>0</v>
      </c>
    </row>
    <row r="101" spans="1:23" ht="11.25" customHeight="1" x14ac:dyDescent="0.25">
      <c r="A101" s="3" t="s">
        <v>21</v>
      </c>
      <c r="B101" s="3" t="s">
        <v>35</v>
      </c>
      <c r="C101" s="3" t="s">
        <v>39</v>
      </c>
      <c r="D101" s="3" t="s">
        <v>34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21802</v>
      </c>
      <c r="K101" s="4">
        <v>21802</v>
      </c>
      <c r="L101" s="4">
        <v>0</v>
      </c>
      <c r="M101" s="4">
        <v>0</v>
      </c>
      <c r="N101" s="4">
        <v>0</v>
      </c>
      <c r="O101" s="4">
        <v>0</v>
      </c>
      <c r="P101" s="4">
        <v>70</v>
      </c>
      <c r="Q101" s="3" t="s">
        <v>26</v>
      </c>
      <c r="R101" s="3">
        <v>0</v>
      </c>
      <c r="S101" s="3" t="s">
        <v>137</v>
      </c>
      <c r="U101" s="3">
        <v>46</v>
      </c>
      <c r="V101" s="3">
        <v>0</v>
      </c>
      <c r="W101" s="3">
        <v>0</v>
      </c>
    </row>
    <row r="102" spans="1:23" ht="11.25" customHeight="1" x14ac:dyDescent="0.25">
      <c r="A102" s="3" t="s">
        <v>28</v>
      </c>
      <c r="B102" s="3" t="s">
        <v>35</v>
      </c>
      <c r="C102" s="3" t="s">
        <v>39</v>
      </c>
      <c r="D102" s="3" t="s">
        <v>34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44713</v>
      </c>
      <c r="J102" s="4">
        <v>130</v>
      </c>
      <c r="K102" s="4">
        <v>130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3" t="s">
        <v>26</v>
      </c>
      <c r="R102" s="3">
        <v>0</v>
      </c>
      <c r="S102" s="3" t="s">
        <v>137</v>
      </c>
      <c r="U102" s="3">
        <v>46</v>
      </c>
      <c r="V102" s="3">
        <v>0</v>
      </c>
      <c r="W102" s="3">
        <v>0</v>
      </c>
    </row>
    <row r="103" spans="1:23" ht="11.25" customHeight="1" x14ac:dyDescent="0.25">
      <c r="A103" s="3" t="s">
        <v>21</v>
      </c>
      <c r="B103" s="3" t="s">
        <v>35</v>
      </c>
      <c r="C103" s="3" t="s">
        <v>39</v>
      </c>
      <c r="D103" s="3" t="s">
        <v>34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44743</v>
      </c>
      <c r="J103" s="4">
        <v>21750</v>
      </c>
      <c r="K103" s="4">
        <v>21750</v>
      </c>
      <c r="L103" s="4">
        <v>0</v>
      </c>
      <c r="M103" s="4">
        <v>0</v>
      </c>
      <c r="N103" s="4">
        <v>0</v>
      </c>
      <c r="O103" s="4">
        <v>0</v>
      </c>
      <c r="P103" s="4">
        <v>71</v>
      </c>
      <c r="Q103" s="3" t="s">
        <v>26</v>
      </c>
      <c r="R103" s="3">
        <v>0</v>
      </c>
      <c r="S103" s="3" t="s">
        <v>138</v>
      </c>
      <c r="U103" s="3">
        <v>46</v>
      </c>
      <c r="V103" s="3">
        <v>0</v>
      </c>
      <c r="W103" s="3">
        <v>0</v>
      </c>
    </row>
    <row r="104" spans="1:23" ht="11.25" customHeight="1" x14ac:dyDescent="0.25">
      <c r="A104" s="3" t="s">
        <v>28</v>
      </c>
      <c r="B104" s="3" t="s">
        <v>35</v>
      </c>
      <c r="C104" s="3" t="s">
        <v>39</v>
      </c>
      <c r="D104" s="3" t="s">
        <v>34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44743</v>
      </c>
      <c r="J104" s="4">
        <v>130</v>
      </c>
      <c r="K104" s="4">
        <v>130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3" t="s">
        <v>138</v>
      </c>
      <c r="U104" s="3">
        <v>46</v>
      </c>
      <c r="V104" s="3">
        <v>0</v>
      </c>
      <c r="W104" s="3">
        <v>0</v>
      </c>
    </row>
    <row r="105" spans="1:23" ht="11.25" customHeight="1" x14ac:dyDescent="0.25">
      <c r="A105" s="3" t="s">
        <v>55</v>
      </c>
      <c r="B105" s="3" t="s">
        <v>35</v>
      </c>
      <c r="C105" s="3" t="s">
        <v>39</v>
      </c>
      <c r="D105" s="3" t="s">
        <v>34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44774</v>
      </c>
      <c r="J105" s="4">
        <v>21750</v>
      </c>
      <c r="K105" s="4">
        <v>21750</v>
      </c>
      <c r="L105" s="4">
        <v>0</v>
      </c>
      <c r="M105" s="4">
        <v>0</v>
      </c>
      <c r="N105" s="4">
        <v>0</v>
      </c>
      <c r="O105" s="4">
        <v>0</v>
      </c>
      <c r="P105" s="4">
        <v>71</v>
      </c>
      <c r="Q105" s="3" t="s">
        <v>26</v>
      </c>
      <c r="R105" s="3">
        <v>0</v>
      </c>
      <c r="S105" s="3" t="s">
        <v>139</v>
      </c>
      <c r="U105" s="3">
        <v>46</v>
      </c>
      <c r="V105" s="3">
        <v>0</v>
      </c>
      <c r="W105" s="3">
        <v>0</v>
      </c>
    </row>
    <row r="106" spans="1:23" ht="11.25" customHeight="1" x14ac:dyDescent="0.25">
      <c r="A106" s="3" t="s">
        <v>55</v>
      </c>
      <c r="B106" s="3" t="s">
        <v>35</v>
      </c>
      <c r="C106" s="3" t="s">
        <v>39</v>
      </c>
      <c r="D106" s="3" t="s">
        <v>34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44774</v>
      </c>
      <c r="J106" s="4">
        <v>130</v>
      </c>
      <c r="K106" s="4">
        <v>130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26</v>
      </c>
      <c r="R106" s="3">
        <v>0</v>
      </c>
      <c r="S106" s="3" t="s">
        <v>139</v>
      </c>
      <c r="U106" s="3">
        <v>46</v>
      </c>
      <c r="V106" s="3">
        <v>0</v>
      </c>
      <c r="W106" s="3">
        <v>0</v>
      </c>
    </row>
    <row r="107" spans="1:23" ht="11.25" customHeight="1" x14ac:dyDescent="0.25">
      <c r="A107" s="3" t="s">
        <v>21</v>
      </c>
      <c r="B107" s="3" t="s">
        <v>35</v>
      </c>
      <c r="C107" s="3" t="s">
        <v>39</v>
      </c>
      <c r="D107" s="3" t="s">
        <v>34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44440</v>
      </c>
      <c r="J107" s="4">
        <v>0</v>
      </c>
      <c r="K107" s="4">
        <v>0</v>
      </c>
      <c r="L107" s="4">
        <v>84.843999999999994</v>
      </c>
      <c r="M107" s="4">
        <v>84.843999999999994</v>
      </c>
      <c r="N107" s="4">
        <v>84.843999999999994</v>
      </c>
      <c r="O107" s="4">
        <v>84.843999999999994</v>
      </c>
      <c r="P107" s="4">
        <v>0</v>
      </c>
      <c r="Q107" s="3" t="s">
        <v>26</v>
      </c>
      <c r="R107" s="3">
        <v>0</v>
      </c>
      <c r="S107" s="3" t="s">
        <v>140</v>
      </c>
      <c r="T107" s="3" t="s">
        <v>297</v>
      </c>
      <c r="U107" s="3">
        <v>0</v>
      </c>
      <c r="V107" s="3">
        <v>35</v>
      </c>
      <c r="W107" s="3">
        <v>70</v>
      </c>
    </row>
    <row r="108" spans="1:23" ht="11.25" customHeight="1" x14ac:dyDescent="0.25">
      <c r="A108" s="3" t="s">
        <v>28</v>
      </c>
      <c r="B108" s="3" t="s">
        <v>35</v>
      </c>
      <c r="C108" s="3" t="s">
        <v>39</v>
      </c>
      <c r="D108" s="3" t="s">
        <v>34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44440</v>
      </c>
      <c r="J108" s="4">
        <v>0</v>
      </c>
      <c r="K108" s="4">
        <v>0</v>
      </c>
      <c r="L108" s="4">
        <v>0.59099999999999997</v>
      </c>
      <c r="M108" s="4">
        <v>0.59099999999999997</v>
      </c>
      <c r="N108" s="4">
        <v>0.59099999999999997</v>
      </c>
      <c r="O108" s="4">
        <v>0.59099999999999997</v>
      </c>
      <c r="P108" s="4">
        <v>0</v>
      </c>
      <c r="Q108" s="3" t="s">
        <v>26</v>
      </c>
      <c r="R108" s="3">
        <v>0</v>
      </c>
      <c r="S108" s="3" t="s">
        <v>140</v>
      </c>
      <c r="T108" s="3" t="s">
        <v>297</v>
      </c>
      <c r="U108" s="3">
        <v>0</v>
      </c>
      <c r="V108" s="3">
        <v>35</v>
      </c>
      <c r="W108" s="3">
        <v>70</v>
      </c>
    </row>
    <row r="109" spans="1:23" ht="11.25" customHeight="1" x14ac:dyDescent="0.25">
      <c r="A109" s="3" t="s">
        <v>21</v>
      </c>
      <c r="B109" s="3" t="s">
        <v>35</v>
      </c>
      <c r="C109" s="3" t="s">
        <v>39</v>
      </c>
      <c r="D109" s="3" t="s">
        <v>34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44470</v>
      </c>
      <c r="J109" s="4">
        <v>0</v>
      </c>
      <c r="K109" s="4">
        <v>0</v>
      </c>
      <c r="L109" s="4">
        <v>67.459999999999994</v>
      </c>
      <c r="M109" s="4">
        <v>67.459999999999994</v>
      </c>
      <c r="N109" s="4">
        <v>67.459999999999994</v>
      </c>
      <c r="O109" s="4">
        <v>67.459999999999994</v>
      </c>
      <c r="P109" s="4">
        <v>0</v>
      </c>
      <c r="Q109" s="3" t="s">
        <v>26</v>
      </c>
      <c r="R109" s="3">
        <v>0</v>
      </c>
      <c r="S109" s="3" t="s">
        <v>141</v>
      </c>
      <c r="T109" s="3" t="s">
        <v>298</v>
      </c>
      <c r="U109" s="3">
        <v>0</v>
      </c>
      <c r="V109" s="3">
        <v>35</v>
      </c>
      <c r="W109" s="3">
        <v>70</v>
      </c>
    </row>
    <row r="110" spans="1:23" ht="11.25" customHeight="1" x14ac:dyDescent="0.25">
      <c r="A110" s="3" t="s">
        <v>28</v>
      </c>
      <c r="B110" s="3" t="s">
        <v>35</v>
      </c>
      <c r="C110" s="3" t="s">
        <v>39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44470</v>
      </c>
      <c r="J110" s="4">
        <v>0</v>
      </c>
      <c r="K110" s="4">
        <v>0</v>
      </c>
      <c r="L110" s="4">
        <v>0.57399999999999995</v>
      </c>
      <c r="M110" s="4">
        <v>0.57399999999999995</v>
      </c>
      <c r="N110" s="4">
        <v>0.57399999999999995</v>
      </c>
      <c r="O110" s="4">
        <v>0.57399999999999995</v>
      </c>
      <c r="P110" s="4">
        <v>0</v>
      </c>
      <c r="Q110" s="3" t="s">
        <v>26</v>
      </c>
      <c r="R110" s="3">
        <v>0</v>
      </c>
      <c r="S110" s="3" t="s">
        <v>141</v>
      </c>
      <c r="T110" s="3" t="s">
        <v>298</v>
      </c>
      <c r="U110" s="3">
        <v>0</v>
      </c>
      <c r="V110" s="3">
        <v>35</v>
      </c>
      <c r="W110" s="3">
        <v>70</v>
      </c>
    </row>
    <row r="111" spans="1:23" ht="11.25" customHeight="1" x14ac:dyDescent="0.25">
      <c r="A111" s="3" t="s">
        <v>21</v>
      </c>
      <c r="B111" s="3" t="s">
        <v>35</v>
      </c>
      <c r="C111" s="3" t="s">
        <v>39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44501</v>
      </c>
      <c r="J111" s="4">
        <v>0</v>
      </c>
      <c r="K111" s="4">
        <v>0</v>
      </c>
      <c r="L111" s="4">
        <v>74.069999999999993</v>
      </c>
      <c r="M111" s="4">
        <v>74.069999999999993</v>
      </c>
      <c r="N111" s="4">
        <v>74.069999999999993</v>
      </c>
      <c r="O111" s="4">
        <v>74.069999999999993</v>
      </c>
      <c r="P111" s="4">
        <v>0</v>
      </c>
      <c r="Q111" s="3" t="s">
        <v>26</v>
      </c>
      <c r="R111" s="3">
        <v>0</v>
      </c>
      <c r="S111" s="3" t="s">
        <v>142</v>
      </c>
      <c r="T111" s="3" t="s">
        <v>299</v>
      </c>
      <c r="U111" s="3">
        <v>0</v>
      </c>
      <c r="V111" s="3">
        <v>35</v>
      </c>
      <c r="W111" s="3">
        <v>70</v>
      </c>
    </row>
    <row r="112" spans="1:23" ht="11.25" customHeight="1" x14ac:dyDescent="0.25">
      <c r="A112" s="3" t="s">
        <v>28</v>
      </c>
      <c r="B112" s="3" t="s">
        <v>35</v>
      </c>
      <c r="C112" s="3" t="s">
        <v>39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44501</v>
      </c>
      <c r="J112" s="4">
        <v>0</v>
      </c>
      <c r="K112" s="4">
        <v>0</v>
      </c>
      <c r="L112" s="4">
        <v>0.54500000000000004</v>
      </c>
      <c r="M112" s="4">
        <v>0.54500000000000004</v>
      </c>
      <c r="N112" s="4">
        <v>0.54500000000000004</v>
      </c>
      <c r="O112" s="4">
        <v>0.54500000000000004</v>
      </c>
      <c r="P112" s="4">
        <v>0</v>
      </c>
      <c r="Q112" s="3" t="s">
        <v>26</v>
      </c>
      <c r="R112" s="3">
        <v>0</v>
      </c>
      <c r="S112" s="3" t="s">
        <v>142</v>
      </c>
      <c r="T112" s="3" t="s">
        <v>299</v>
      </c>
      <c r="U112" s="3">
        <v>0</v>
      </c>
      <c r="V112" s="3">
        <v>35</v>
      </c>
      <c r="W112" s="3">
        <v>70</v>
      </c>
    </row>
    <row r="113" spans="1:23" ht="11.25" customHeight="1" x14ac:dyDescent="0.25">
      <c r="A113" s="3" t="s">
        <v>21</v>
      </c>
      <c r="B113" s="3" t="s">
        <v>35</v>
      </c>
      <c r="C113" s="3" t="s">
        <v>39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44531</v>
      </c>
      <c r="J113" s="4">
        <v>0</v>
      </c>
      <c r="K113" s="4">
        <v>0</v>
      </c>
      <c r="L113" s="4">
        <v>83.748999999999995</v>
      </c>
      <c r="M113" s="4">
        <v>83.748999999999995</v>
      </c>
      <c r="N113" s="4">
        <v>83.748999999999995</v>
      </c>
      <c r="O113" s="4">
        <v>83.748999999999995</v>
      </c>
      <c r="P113" s="4">
        <v>0</v>
      </c>
      <c r="Q113" s="3" t="s">
        <v>26</v>
      </c>
      <c r="R113" s="3">
        <v>0</v>
      </c>
      <c r="S113" s="3" t="s">
        <v>143</v>
      </c>
      <c r="T113" s="3" t="s">
        <v>300</v>
      </c>
      <c r="U113" s="3">
        <v>0</v>
      </c>
      <c r="V113" s="3">
        <v>35</v>
      </c>
      <c r="W113" s="3">
        <v>70</v>
      </c>
    </row>
    <row r="114" spans="1:23" ht="11.25" customHeight="1" x14ac:dyDescent="0.25">
      <c r="A114" s="3" t="s">
        <v>21</v>
      </c>
      <c r="B114" s="3" t="s">
        <v>35</v>
      </c>
      <c r="C114" s="3" t="s">
        <v>39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44562</v>
      </c>
      <c r="J114" s="4">
        <v>0</v>
      </c>
      <c r="K114" s="4">
        <v>0</v>
      </c>
      <c r="L114" s="4">
        <v>70.064999999999998</v>
      </c>
      <c r="M114" s="4">
        <v>70.064999999999998</v>
      </c>
      <c r="N114" s="4">
        <v>70.064999999999998</v>
      </c>
      <c r="O114" s="4">
        <v>70.064999999999998</v>
      </c>
      <c r="P114" s="4">
        <v>0</v>
      </c>
      <c r="Q114" s="3" t="s">
        <v>26</v>
      </c>
      <c r="R114" s="3">
        <v>0</v>
      </c>
      <c r="S114" s="3" t="s">
        <v>144</v>
      </c>
      <c r="T114" s="3" t="s">
        <v>301</v>
      </c>
      <c r="U114" s="3">
        <v>0</v>
      </c>
      <c r="V114" s="3">
        <v>35</v>
      </c>
      <c r="W114" s="3">
        <v>70</v>
      </c>
    </row>
    <row r="115" spans="1:23" ht="11.25" customHeight="1" x14ac:dyDescent="0.25">
      <c r="A115" s="3" t="s">
        <v>28</v>
      </c>
      <c r="B115" s="3" t="s">
        <v>35</v>
      </c>
      <c r="C115" s="3" t="s">
        <v>39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44562</v>
      </c>
      <c r="J115" s="4">
        <v>0</v>
      </c>
      <c r="K115" s="4">
        <v>0</v>
      </c>
      <c r="L115" s="4">
        <v>0.83</v>
      </c>
      <c r="M115" s="4">
        <v>0.83</v>
      </c>
      <c r="N115" s="4">
        <v>0.83</v>
      </c>
      <c r="O115" s="4">
        <v>0.83</v>
      </c>
      <c r="P115" s="4">
        <v>0</v>
      </c>
      <c r="Q115" s="3" t="s">
        <v>26</v>
      </c>
      <c r="R115" s="3">
        <v>0</v>
      </c>
      <c r="S115" s="3" t="s">
        <v>144</v>
      </c>
      <c r="T115" s="3" t="s">
        <v>301</v>
      </c>
      <c r="U115" s="3">
        <v>0</v>
      </c>
      <c r="V115" s="3">
        <v>35</v>
      </c>
      <c r="W115" s="3">
        <v>70</v>
      </c>
    </row>
    <row r="116" spans="1:2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37</v>
      </c>
      <c r="I116" s="6">
        <v>44593</v>
      </c>
      <c r="J116" s="4">
        <v>0</v>
      </c>
      <c r="K116" s="4">
        <v>0</v>
      </c>
      <c r="L116" s="4">
        <v>85.513999999999996</v>
      </c>
      <c r="M116" s="4">
        <v>85.513999999999996</v>
      </c>
      <c r="N116" s="4">
        <v>85.513999999999996</v>
      </c>
      <c r="O116" s="4">
        <v>85.513999999999996</v>
      </c>
      <c r="P116" s="4">
        <v>0</v>
      </c>
      <c r="Q116" s="3" t="s">
        <v>26</v>
      </c>
      <c r="R116" s="3">
        <v>0</v>
      </c>
      <c r="S116" s="3" t="s">
        <v>145</v>
      </c>
      <c r="T116" s="3" t="s">
        <v>302</v>
      </c>
      <c r="U116" s="3">
        <v>0</v>
      </c>
      <c r="V116" s="3">
        <v>35</v>
      </c>
      <c r="W116" s="3">
        <v>70</v>
      </c>
    </row>
    <row r="117" spans="1:23" ht="11.25" customHeight="1" x14ac:dyDescent="0.25">
      <c r="A117" s="3" t="s">
        <v>21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37</v>
      </c>
      <c r="I117" s="6">
        <v>44621</v>
      </c>
      <c r="J117" s="4">
        <v>0</v>
      </c>
      <c r="K117" s="4">
        <v>0</v>
      </c>
      <c r="L117" s="4">
        <v>80.924000000000007</v>
      </c>
      <c r="M117" s="4">
        <v>80.924000000000007</v>
      </c>
      <c r="N117" s="4">
        <v>80.924000000000007</v>
      </c>
      <c r="O117" s="4">
        <v>80.924000000000007</v>
      </c>
      <c r="P117" s="4">
        <v>0</v>
      </c>
      <c r="Q117" s="3" t="s">
        <v>26</v>
      </c>
      <c r="R117" s="3">
        <v>0</v>
      </c>
      <c r="S117" s="3" t="s">
        <v>146</v>
      </c>
      <c r="T117" s="3" t="s">
        <v>303</v>
      </c>
      <c r="U117" s="3">
        <v>0</v>
      </c>
      <c r="V117" s="3">
        <v>35</v>
      </c>
      <c r="W117" s="3">
        <v>70</v>
      </c>
    </row>
    <row r="118" spans="1:23" ht="11.25" customHeight="1" x14ac:dyDescent="0.25">
      <c r="A118" s="3" t="s">
        <v>28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37</v>
      </c>
      <c r="I118" s="6">
        <v>44621</v>
      </c>
      <c r="J118" s="4">
        <v>0</v>
      </c>
      <c r="K118" s="4">
        <v>0</v>
      </c>
      <c r="L118" s="4">
        <v>0.44700000000000001</v>
      </c>
      <c r="M118" s="4">
        <v>0.44700000000000001</v>
      </c>
      <c r="N118" s="4">
        <v>0.44700000000000001</v>
      </c>
      <c r="O118" s="4">
        <v>0.44700000000000001</v>
      </c>
      <c r="P118" s="4">
        <v>0</v>
      </c>
      <c r="Q118" s="3" t="s">
        <v>26</v>
      </c>
      <c r="R118" s="3">
        <v>0</v>
      </c>
      <c r="S118" s="3" t="s">
        <v>146</v>
      </c>
      <c r="T118" s="3" t="s">
        <v>303</v>
      </c>
      <c r="U118" s="3">
        <v>0</v>
      </c>
      <c r="V118" s="3">
        <v>35</v>
      </c>
      <c r="W118" s="3">
        <v>70</v>
      </c>
    </row>
    <row r="119" spans="1:23" ht="11.25" customHeight="1" x14ac:dyDescent="0.25">
      <c r="A119" s="3" t="s">
        <v>21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37</v>
      </c>
      <c r="I119" s="6">
        <v>44652</v>
      </c>
      <c r="J119" s="4">
        <v>0</v>
      </c>
      <c r="K119" s="4">
        <v>0</v>
      </c>
      <c r="L119" s="4">
        <v>94.688999999999993</v>
      </c>
      <c r="M119" s="4">
        <v>94.688999999999993</v>
      </c>
      <c r="N119" s="4">
        <v>94.688999999999993</v>
      </c>
      <c r="O119" s="4">
        <v>94.688999999999993</v>
      </c>
      <c r="P119" s="4">
        <v>0</v>
      </c>
      <c r="Q119" s="3" t="s">
        <v>26</v>
      </c>
      <c r="R119" s="3">
        <v>0</v>
      </c>
      <c r="S119" s="3" t="s">
        <v>147</v>
      </c>
      <c r="T119" s="3" t="s">
        <v>304</v>
      </c>
      <c r="U119" s="3">
        <v>0</v>
      </c>
      <c r="V119" s="3">
        <v>35</v>
      </c>
      <c r="W119" s="3">
        <v>70</v>
      </c>
    </row>
    <row r="120" spans="1:23" ht="11.25" customHeight="1" x14ac:dyDescent="0.25">
      <c r="A120" s="3" t="s">
        <v>28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37</v>
      </c>
      <c r="I120" s="6">
        <v>44652</v>
      </c>
      <c r="J120" s="4">
        <v>0</v>
      </c>
      <c r="K120" s="4">
        <v>0</v>
      </c>
      <c r="L120" s="4">
        <v>0.40100000000000002</v>
      </c>
      <c r="M120" s="4">
        <v>0.40100000000000002</v>
      </c>
      <c r="N120" s="4">
        <v>0.40100000000000002</v>
      </c>
      <c r="O120" s="4">
        <v>0.40100000000000002</v>
      </c>
      <c r="P120" s="4">
        <v>0</v>
      </c>
      <c r="Q120" s="3" t="s">
        <v>26</v>
      </c>
      <c r="R120" s="3">
        <v>0</v>
      </c>
      <c r="S120" s="3" t="s">
        <v>147</v>
      </c>
      <c r="T120" s="3" t="s">
        <v>304</v>
      </c>
      <c r="U120" s="3">
        <v>0</v>
      </c>
      <c r="V120" s="3">
        <v>35</v>
      </c>
      <c r="W120" s="3">
        <v>70</v>
      </c>
    </row>
    <row r="121" spans="1:23" ht="11.25" customHeight="1" x14ac:dyDescent="0.25">
      <c r="A121" s="3" t="s">
        <v>21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37</v>
      </c>
      <c r="I121" s="6">
        <v>44682</v>
      </c>
      <c r="J121" s="4">
        <v>0</v>
      </c>
      <c r="K121" s="4">
        <v>0</v>
      </c>
      <c r="L121" s="4">
        <v>98.71</v>
      </c>
      <c r="M121" s="4">
        <v>98.71</v>
      </c>
      <c r="N121" s="4">
        <v>98.71</v>
      </c>
      <c r="O121" s="4">
        <v>98.71</v>
      </c>
      <c r="P121" s="4">
        <v>0</v>
      </c>
      <c r="Q121" s="3" t="s">
        <v>26</v>
      </c>
      <c r="R121" s="3">
        <v>0</v>
      </c>
      <c r="S121" s="3" t="s">
        <v>148</v>
      </c>
      <c r="T121" s="3" t="s">
        <v>305</v>
      </c>
      <c r="U121" s="3">
        <v>0</v>
      </c>
      <c r="V121" s="3">
        <v>35</v>
      </c>
      <c r="W121" s="3">
        <v>70</v>
      </c>
    </row>
    <row r="122" spans="1:23" ht="11.25" customHeight="1" x14ac:dyDescent="0.25">
      <c r="A122" s="3" t="s">
        <v>28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44682</v>
      </c>
      <c r="J122" s="4">
        <v>0</v>
      </c>
      <c r="K122" s="4">
        <v>0</v>
      </c>
      <c r="L122" s="4">
        <v>0.55800000000000005</v>
      </c>
      <c r="M122" s="4">
        <v>0.55800000000000005</v>
      </c>
      <c r="N122" s="4">
        <v>0.55800000000000005</v>
      </c>
      <c r="O122" s="4">
        <v>0.55800000000000005</v>
      </c>
      <c r="P122" s="4">
        <v>0</v>
      </c>
      <c r="Q122" s="3" t="s">
        <v>26</v>
      </c>
      <c r="R122" s="3">
        <v>0</v>
      </c>
      <c r="S122" s="3" t="s">
        <v>148</v>
      </c>
      <c r="T122" s="3" t="s">
        <v>305</v>
      </c>
      <c r="U122" s="3">
        <v>0</v>
      </c>
      <c r="V122" s="3">
        <v>35</v>
      </c>
      <c r="W122" s="3">
        <v>70</v>
      </c>
    </row>
    <row r="123" spans="1:23" ht="11.25" customHeight="1" x14ac:dyDescent="0.25">
      <c r="A123" s="3" t="s">
        <v>21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44713</v>
      </c>
      <c r="J123" s="4">
        <v>0</v>
      </c>
      <c r="K123" s="4">
        <v>0</v>
      </c>
      <c r="L123" s="4">
        <v>90.647999999999996</v>
      </c>
      <c r="M123" s="4">
        <v>90.647999999999996</v>
      </c>
      <c r="N123" s="4">
        <v>90.647999999999996</v>
      </c>
      <c r="O123" s="4">
        <v>90.647999999999996</v>
      </c>
      <c r="P123" s="4">
        <v>0</v>
      </c>
      <c r="Q123" s="3" t="s">
        <v>26</v>
      </c>
      <c r="R123" s="3">
        <v>0</v>
      </c>
      <c r="S123" s="3" t="s">
        <v>149</v>
      </c>
      <c r="T123" s="3" t="s">
        <v>306</v>
      </c>
      <c r="U123" s="3">
        <v>0</v>
      </c>
      <c r="V123" s="3">
        <v>35</v>
      </c>
      <c r="W123" s="3">
        <v>70</v>
      </c>
    </row>
    <row r="124" spans="1:23" ht="11.25" customHeight="1" x14ac:dyDescent="0.25">
      <c r="A124" s="3" t="s">
        <v>28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44713</v>
      </c>
      <c r="J124" s="4">
        <v>0</v>
      </c>
      <c r="K124" s="4">
        <v>0</v>
      </c>
      <c r="L124" s="4">
        <v>0.51900000000000002</v>
      </c>
      <c r="M124" s="4">
        <v>0.51900000000000002</v>
      </c>
      <c r="N124" s="4">
        <v>0.51900000000000002</v>
      </c>
      <c r="O124" s="4">
        <v>0.51900000000000002</v>
      </c>
      <c r="P124" s="4">
        <v>0</v>
      </c>
      <c r="Q124" s="3" t="s">
        <v>26</v>
      </c>
      <c r="R124" s="3">
        <v>0</v>
      </c>
      <c r="S124" s="3" t="s">
        <v>149</v>
      </c>
      <c r="T124" s="3" t="s">
        <v>306</v>
      </c>
      <c r="U124" s="3">
        <v>0</v>
      </c>
      <c r="V124" s="3">
        <v>35</v>
      </c>
      <c r="W124" s="3">
        <v>70</v>
      </c>
    </row>
    <row r="125" spans="1:23" ht="11.25" customHeight="1" x14ac:dyDescent="0.25">
      <c r="A125" s="3" t="s">
        <v>21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44743</v>
      </c>
      <c r="J125" s="4">
        <v>0</v>
      </c>
      <c r="K125" s="4">
        <v>0</v>
      </c>
      <c r="L125" s="4">
        <v>116.777</v>
      </c>
      <c r="M125" s="4">
        <v>116.777</v>
      </c>
      <c r="N125" s="4">
        <v>116.777</v>
      </c>
      <c r="O125" s="4">
        <v>116.777</v>
      </c>
      <c r="P125" s="4">
        <v>0</v>
      </c>
      <c r="Q125" s="3" t="s">
        <v>26</v>
      </c>
      <c r="R125" s="3">
        <v>0</v>
      </c>
      <c r="S125" s="3" t="s">
        <v>150</v>
      </c>
      <c r="T125" s="3" t="s">
        <v>307</v>
      </c>
      <c r="U125" s="3">
        <v>0</v>
      </c>
      <c r="V125" s="3">
        <v>35</v>
      </c>
      <c r="W125" s="3">
        <v>70</v>
      </c>
    </row>
    <row r="126" spans="1:23" ht="11.25" customHeight="1" x14ac:dyDescent="0.25">
      <c r="A126" s="3" t="s">
        <v>28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44743</v>
      </c>
      <c r="J126" s="4">
        <v>0</v>
      </c>
      <c r="K126" s="4">
        <v>0</v>
      </c>
      <c r="L126" s="4">
        <v>0.27500000000000002</v>
      </c>
      <c r="M126" s="4">
        <v>0.27500000000000002</v>
      </c>
      <c r="N126" s="4">
        <v>0.27500000000000002</v>
      </c>
      <c r="O126" s="4">
        <v>0.27500000000000002</v>
      </c>
      <c r="P126" s="4">
        <v>0</v>
      </c>
      <c r="Q126" s="3" t="s">
        <v>26</v>
      </c>
      <c r="R126" s="3">
        <v>0</v>
      </c>
      <c r="S126" s="3" t="s">
        <v>150</v>
      </c>
      <c r="T126" s="3" t="s">
        <v>307</v>
      </c>
      <c r="U126" s="3">
        <v>0</v>
      </c>
      <c r="V126" s="3">
        <v>35</v>
      </c>
      <c r="W126" s="3">
        <v>70</v>
      </c>
    </row>
    <row r="127" spans="1:23" ht="11.25" customHeight="1" x14ac:dyDescent="0.25">
      <c r="A127" s="3" t="s">
        <v>55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44774</v>
      </c>
      <c r="J127" s="4">
        <v>0</v>
      </c>
      <c r="K127" s="4">
        <v>0</v>
      </c>
      <c r="L127" s="4">
        <v>116.777</v>
      </c>
      <c r="M127" s="4">
        <v>116.777</v>
      </c>
      <c r="N127" s="4">
        <v>116.777</v>
      </c>
      <c r="O127" s="4">
        <v>116.777</v>
      </c>
      <c r="P127" s="4">
        <v>0</v>
      </c>
      <c r="Q127" s="3" t="s">
        <v>26</v>
      </c>
      <c r="R127" s="3">
        <v>0</v>
      </c>
      <c r="S127" s="3" t="s">
        <v>151</v>
      </c>
      <c r="T127" s="3" t="s">
        <v>308</v>
      </c>
      <c r="U127" s="3">
        <v>0</v>
      </c>
      <c r="V127" s="3">
        <v>35</v>
      </c>
      <c r="W127" s="3">
        <v>70</v>
      </c>
    </row>
    <row r="128" spans="1:23" ht="11.25" customHeight="1" x14ac:dyDescent="0.25">
      <c r="A128" s="3" t="s">
        <v>55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44774</v>
      </c>
      <c r="J128" s="4">
        <v>0</v>
      </c>
      <c r="K128" s="4">
        <v>0</v>
      </c>
      <c r="L128" s="4">
        <v>0.27500000000000002</v>
      </c>
      <c r="M128" s="4">
        <v>0.27500000000000002</v>
      </c>
      <c r="N128" s="4">
        <v>0.27500000000000002</v>
      </c>
      <c r="O128" s="4">
        <v>0.27500000000000002</v>
      </c>
      <c r="P128" s="4">
        <v>0</v>
      </c>
      <c r="Q128" s="3" t="s">
        <v>26</v>
      </c>
      <c r="R128" s="3">
        <v>0</v>
      </c>
      <c r="S128" s="3" t="s">
        <v>151</v>
      </c>
      <c r="T128" s="3" t="s">
        <v>308</v>
      </c>
      <c r="U128" s="3">
        <v>0</v>
      </c>
      <c r="V128" s="3">
        <v>35</v>
      </c>
      <c r="W128" s="3">
        <v>70</v>
      </c>
    </row>
    <row r="129" spans="1:23" ht="11.25" customHeight="1" x14ac:dyDescent="0.25">
      <c r="A129" s="3" t="s">
        <v>21</v>
      </c>
      <c r="B129" s="3" t="s">
        <v>35</v>
      </c>
      <c r="C129" s="3" t="s">
        <v>39</v>
      </c>
      <c r="D129" s="3" t="s">
        <v>45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44440</v>
      </c>
      <c r="J129" s="4">
        <v>0</v>
      </c>
      <c r="K129" s="4">
        <v>0</v>
      </c>
      <c r="L129" s="4">
        <v>1.8740000000000001</v>
      </c>
      <c r="M129" s="4">
        <v>1.8740000000000001</v>
      </c>
      <c r="N129" s="4">
        <v>1.8740000000000001</v>
      </c>
      <c r="O129" s="4">
        <v>1.8740000000000001</v>
      </c>
      <c r="P129" s="4">
        <v>0</v>
      </c>
      <c r="Q129" s="3" t="s">
        <v>26</v>
      </c>
      <c r="R129" s="3">
        <v>0</v>
      </c>
      <c r="S129" s="3" t="s">
        <v>116</v>
      </c>
      <c r="T129" s="3" t="s">
        <v>285</v>
      </c>
      <c r="U129" s="3">
        <v>0</v>
      </c>
      <c r="V129" s="3">
        <v>50</v>
      </c>
      <c r="W129" s="3">
        <v>61</v>
      </c>
    </row>
    <row r="130" spans="1:23" ht="11.25" customHeight="1" x14ac:dyDescent="0.25">
      <c r="A130" s="3" t="s">
        <v>21</v>
      </c>
      <c r="B130" s="3" t="s">
        <v>35</v>
      </c>
      <c r="C130" s="3" t="s">
        <v>39</v>
      </c>
      <c r="D130" s="3" t="s">
        <v>45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44470</v>
      </c>
      <c r="J130" s="4">
        <v>0</v>
      </c>
      <c r="K130" s="4">
        <v>0</v>
      </c>
      <c r="L130" s="4">
        <v>2.0419999999999998</v>
      </c>
      <c r="M130" s="4">
        <v>2.0419999999999998</v>
      </c>
      <c r="N130" s="4">
        <v>2.0419999999999998</v>
      </c>
      <c r="O130" s="4">
        <v>2.0419999999999998</v>
      </c>
      <c r="P130" s="4">
        <v>0</v>
      </c>
      <c r="Q130" s="3" t="s">
        <v>26</v>
      </c>
      <c r="R130" s="3">
        <v>0</v>
      </c>
      <c r="S130" s="3" t="s">
        <v>117</v>
      </c>
      <c r="T130" s="3" t="s">
        <v>286</v>
      </c>
      <c r="U130" s="3">
        <v>0</v>
      </c>
      <c r="V130" s="3">
        <v>50</v>
      </c>
      <c r="W130" s="3">
        <v>61</v>
      </c>
    </row>
    <row r="131" spans="1:23" ht="11.25" customHeight="1" x14ac:dyDescent="0.25">
      <c r="A131" s="3" t="s">
        <v>21</v>
      </c>
      <c r="B131" s="3" t="s">
        <v>35</v>
      </c>
      <c r="C131" s="3" t="s">
        <v>39</v>
      </c>
      <c r="D131" s="3" t="s">
        <v>45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2.0819999999999999</v>
      </c>
      <c r="M131" s="4">
        <v>2.0819999999999999</v>
      </c>
      <c r="N131" s="4">
        <v>2.0819999999999999</v>
      </c>
      <c r="O131" s="4">
        <v>2.0819999999999999</v>
      </c>
      <c r="P131" s="4">
        <v>0</v>
      </c>
      <c r="Q131" s="3" t="s">
        <v>26</v>
      </c>
      <c r="R131" s="3">
        <v>0</v>
      </c>
      <c r="S131" s="3" t="s">
        <v>118</v>
      </c>
      <c r="T131" s="3" t="s">
        <v>287</v>
      </c>
      <c r="U131" s="3">
        <v>0</v>
      </c>
      <c r="V131" s="3">
        <v>50</v>
      </c>
      <c r="W131" s="3">
        <v>61</v>
      </c>
    </row>
    <row r="132" spans="1:23" ht="11.25" customHeight="1" x14ac:dyDescent="0.25">
      <c r="A132" s="3" t="s">
        <v>21</v>
      </c>
      <c r="B132" s="3" t="s">
        <v>35</v>
      </c>
      <c r="C132" s="3" t="s">
        <v>39</v>
      </c>
      <c r="D132" s="3" t="s">
        <v>45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44531</v>
      </c>
      <c r="J132" s="4">
        <v>0</v>
      </c>
      <c r="K132" s="4">
        <v>0</v>
      </c>
      <c r="L132" s="4">
        <v>2.8079999999999998</v>
      </c>
      <c r="M132" s="4">
        <v>2.8079999999999998</v>
      </c>
      <c r="N132" s="4">
        <v>2.8079999999999998</v>
      </c>
      <c r="O132" s="4">
        <v>2.8079999999999998</v>
      </c>
      <c r="P132" s="4">
        <v>0</v>
      </c>
      <c r="Q132" s="3" t="s">
        <v>26</v>
      </c>
      <c r="R132" s="3">
        <v>0</v>
      </c>
      <c r="S132" s="3" t="s">
        <v>119</v>
      </c>
      <c r="T132" s="3" t="s">
        <v>288</v>
      </c>
      <c r="U132" s="3">
        <v>0</v>
      </c>
      <c r="V132" s="3">
        <v>50</v>
      </c>
      <c r="W132" s="3">
        <v>61</v>
      </c>
    </row>
    <row r="133" spans="1:23" ht="11.25" customHeight="1" x14ac:dyDescent="0.25">
      <c r="A133" s="3" t="s">
        <v>21</v>
      </c>
      <c r="B133" s="3" t="s">
        <v>35</v>
      </c>
      <c r="C133" s="3" t="s">
        <v>39</v>
      </c>
      <c r="D133" s="3" t="s">
        <v>45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44562</v>
      </c>
      <c r="J133" s="4">
        <v>0</v>
      </c>
      <c r="K133" s="4">
        <v>0</v>
      </c>
      <c r="L133" s="4">
        <v>1.3180000000000001</v>
      </c>
      <c r="M133" s="4">
        <v>1.3180000000000001</v>
      </c>
      <c r="N133" s="4">
        <v>1.3180000000000001</v>
      </c>
      <c r="O133" s="4">
        <v>1.3180000000000001</v>
      </c>
      <c r="P133" s="4">
        <v>0</v>
      </c>
      <c r="Q133" s="3" t="s">
        <v>26</v>
      </c>
      <c r="R133" s="3">
        <v>0</v>
      </c>
      <c r="S133" s="3" t="s">
        <v>120</v>
      </c>
      <c r="T133" s="3" t="s">
        <v>289</v>
      </c>
      <c r="U133" s="3">
        <v>0</v>
      </c>
      <c r="V133" s="3">
        <v>50</v>
      </c>
      <c r="W133" s="3">
        <v>61</v>
      </c>
    </row>
    <row r="134" spans="1:23" ht="11.25" customHeight="1" x14ac:dyDescent="0.25">
      <c r="A134" s="3" t="s">
        <v>21</v>
      </c>
      <c r="B134" s="3" t="s">
        <v>35</v>
      </c>
      <c r="C134" s="3" t="s">
        <v>39</v>
      </c>
      <c r="D134" s="3" t="s">
        <v>45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44593</v>
      </c>
      <c r="J134" s="4">
        <v>0</v>
      </c>
      <c r="K134" s="4">
        <v>0</v>
      </c>
      <c r="L134" s="4">
        <v>0.60299999999999998</v>
      </c>
      <c r="M134" s="4">
        <v>0.60299999999999998</v>
      </c>
      <c r="N134" s="4">
        <v>0.60299999999999998</v>
      </c>
      <c r="O134" s="4">
        <v>0.60299999999999998</v>
      </c>
      <c r="P134" s="4">
        <v>0</v>
      </c>
      <c r="Q134" s="3" t="s">
        <v>26</v>
      </c>
      <c r="R134" s="3">
        <v>0</v>
      </c>
      <c r="S134" s="3" t="s">
        <v>121</v>
      </c>
      <c r="T134" s="3" t="s">
        <v>290</v>
      </c>
      <c r="U134" s="3">
        <v>0</v>
      </c>
      <c r="V134" s="3">
        <v>50</v>
      </c>
      <c r="W134" s="3">
        <v>61</v>
      </c>
    </row>
    <row r="135" spans="1:23" ht="11.25" customHeight="1" x14ac:dyDescent="0.25">
      <c r="A135" s="3" t="s">
        <v>21</v>
      </c>
      <c r="B135" s="3" t="s">
        <v>35</v>
      </c>
      <c r="C135" s="3" t="s">
        <v>39</v>
      </c>
      <c r="D135" s="3" t="s">
        <v>45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44621</v>
      </c>
      <c r="J135" s="4">
        <v>0</v>
      </c>
      <c r="K135" s="4">
        <v>0</v>
      </c>
      <c r="L135" s="4">
        <v>2.5779999999999998</v>
      </c>
      <c r="M135" s="4">
        <v>2.5779999999999998</v>
      </c>
      <c r="N135" s="4">
        <v>2.5779999999999998</v>
      </c>
      <c r="O135" s="4">
        <v>2.5779999999999998</v>
      </c>
      <c r="P135" s="4">
        <v>0</v>
      </c>
      <c r="Q135" s="3" t="s">
        <v>26</v>
      </c>
      <c r="R135" s="3">
        <v>0</v>
      </c>
      <c r="S135" s="3" t="s">
        <v>122</v>
      </c>
      <c r="T135" s="3" t="s">
        <v>291</v>
      </c>
      <c r="U135" s="3">
        <v>0</v>
      </c>
      <c r="V135" s="3">
        <v>50</v>
      </c>
      <c r="W135" s="3">
        <v>61</v>
      </c>
    </row>
    <row r="136" spans="1:23" ht="11.25" customHeight="1" x14ac:dyDescent="0.25">
      <c r="A136" s="3" t="s">
        <v>21</v>
      </c>
      <c r="B136" s="3" t="s">
        <v>35</v>
      </c>
      <c r="C136" s="3" t="s">
        <v>39</v>
      </c>
      <c r="D136" s="3" t="s">
        <v>45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44652</v>
      </c>
      <c r="J136" s="4">
        <v>0</v>
      </c>
      <c r="K136" s="4">
        <v>0</v>
      </c>
      <c r="L136" s="4">
        <v>4.1619999999999999</v>
      </c>
      <c r="M136" s="4">
        <v>4.1619999999999999</v>
      </c>
      <c r="N136" s="4">
        <v>4.1619999999999999</v>
      </c>
      <c r="O136" s="4">
        <v>4.1619999999999999</v>
      </c>
      <c r="P136" s="4">
        <v>0</v>
      </c>
      <c r="Q136" s="3" t="s">
        <v>26</v>
      </c>
      <c r="R136" s="3">
        <v>0</v>
      </c>
      <c r="S136" s="3" t="s">
        <v>123</v>
      </c>
      <c r="T136" s="3" t="s">
        <v>292</v>
      </c>
      <c r="U136" s="3">
        <v>0</v>
      </c>
      <c r="V136" s="3">
        <v>50</v>
      </c>
      <c r="W136" s="3">
        <v>61</v>
      </c>
    </row>
    <row r="137" spans="1:23" ht="11.25" customHeight="1" x14ac:dyDescent="0.25">
      <c r="A137" s="3" t="s">
        <v>21</v>
      </c>
      <c r="B137" s="3" t="s">
        <v>35</v>
      </c>
      <c r="C137" s="3" t="s">
        <v>39</v>
      </c>
      <c r="D137" s="3" t="s">
        <v>45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44682</v>
      </c>
      <c r="J137" s="4">
        <v>0</v>
      </c>
      <c r="K137" s="4">
        <v>0</v>
      </c>
      <c r="L137" s="4">
        <v>1.706</v>
      </c>
      <c r="M137" s="4">
        <v>1.706</v>
      </c>
      <c r="N137" s="4">
        <v>1.706</v>
      </c>
      <c r="O137" s="4">
        <v>1.706</v>
      </c>
      <c r="P137" s="4">
        <v>0</v>
      </c>
      <c r="Q137" s="3" t="s">
        <v>26</v>
      </c>
      <c r="R137" s="3">
        <v>0</v>
      </c>
      <c r="S137" s="3" t="s">
        <v>124</v>
      </c>
      <c r="T137" s="3" t="s">
        <v>293</v>
      </c>
      <c r="U137" s="3">
        <v>0</v>
      </c>
      <c r="V137" s="3">
        <v>50</v>
      </c>
      <c r="W137" s="3">
        <v>61</v>
      </c>
    </row>
    <row r="138" spans="1:23" ht="11.25" customHeight="1" x14ac:dyDescent="0.25">
      <c r="A138" s="3" t="s">
        <v>21</v>
      </c>
      <c r="B138" s="3" t="s">
        <v>35</v>
      </c>
      <c r="C138" s="3" t="s">
        <v>39</v>
      </c>
      <c r="D138" s="3" t="s">
        <v>45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44713</v>
      </c>
      <c r="J138" s="4">
        <v>0</v>
      </c>
      <c r="K138" s="4">
        <v>0</v>
      </c>
      <c r="L138" s="4">
        <v>1.6539999999999999</v>
      </c>
      <c r="M138" s="4">
        <v>1.6539999999999999</v>
      </c>
      <c r="N138" s="4">
        <v>1.6539999999999999</v>
      </c>
      <c r="O138" s="4">
        <v>1.6539999999999999</v>
      </c>
      <c r="P138" s="4">
        <v>0</v>
      </c>
      <c r="Q138" s="3" t="s">
        <v>26</v>
      </c>
      <c r="R138" s="3">
        <v>0</v>
      </c>
      <c r="S138" s="3" t="s">
        <v>125</v>
      </c>
      <c r="T138" s="3" t="s">
        <v>294</v>
      </c>
      <c r="U138" s="3">
        <v>0</v>
      </c>
      <c r="V138" s="3">
        <v>50</v>
      </c>
      <c r="W138" s="3">
        <v>61</v>
      </c>
    </row>
    <row r="139" spans="1:23" ht="11.25" customHeight="1" x14ac:dyDescent="0.25">
      <c r="A139" s="3" t="s">
        <v>21</v>
      </c>
      <c r="B139" s="3" t="s">
        <v>35</v>
      </c>
      <c r="C139" s="3" t="s">
        <v>39</v>
      </c>
      <c r="D139" s="3" t="s">
        <v>45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44743</v>
      </c>
      <c r="J139" s="4">
        <v>0</v>
      </c>
      <c r="K139" s="4">
        <v>0</v>
      </c>
      <c r="L139" s="4">
        <v>1.732</v>
      </c>
      <c r="M139" s="4">
        <v>1.732</v>
      </c>
      <c r="N139" s="4">
        <v>1.732</v>
      </c>
      <c r="O139" s="4">
        <v>1.732</v>
      </c>
      <c r="P139" s="4">
        <v>0</v>
      </c>
      <c r="Q139" s="3" t="s">
        <v>26</v>
      </c>
      <c r="R139" s="3">
        <v>0</v>
      </c>
      <c r="S139" s="3" t="s">
        <v>126</v>
      </c>
      <c r="T139" s="3" t="s">
        <v>295</v>
      </c>
      <c r="U139" s="3">
        <v>0</v>
      </c>
      <c r="V139" s="3">
        <v>50</v>
      </c>
      <c r="W139" s="3">
        <v>61</v>
      </c>
    </row>
    <row r="140" spans="1:23" ht="11.25" customHeight="1" x14ac:dyDescent="0.25">
      <c r="A140" s="3" t="s">
        <v>55</v>
      </c>
      <c r="B140" s="3" t="s">
        <v>35</v>
      </c>
      <c r="C140" s="3" t="s">
        <v>39</v>
      </c>
      <c r="D140" s="3" t="s">
        <v>45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44774</v>
      </c>
      <c r="J140" s="4">
        <v>0</v>
      </c>
      <c r="K140" s="4">
        <v>0</v>
      </c>
      <c r="L140" s="4">
        <v>1.732</v>
      </c>
      <c r="M140" s="4">
        <v>1.732</v>
      </c>
      <c r="N140" s="4">
        <v>1.732</v>
      </c>
      <c r="O140" s="4">
        <v>1.732</v>
      </c>
      <c r="P140" s="4">
        <v>0</v>
      </c>
      <c r="Q140" s="3" t="s">
        <v>26</v>
      </c>
      <c r="R140" s="3">
        <v>0</v>
      </c>
      <c r="S140" s="3" t="s">
        <v>127</v>
      </c>
      <c r="T140" s="3" t="s">
        <v>296</v>
      </c>
      <c r="U140" s="3">
        <v>0</v>
      </c>
      <c r="V140" s="3">
        <v>50</v>
      </c>
      <c r="W140" s="3">
        <v>61</v>
      </c>
    </row>
    <row r="141" spans="1:23" ht="11.25" customHeight="1" x14ac:dyDescent="0.25">
      <c r="A141" s="3" t="s">
        <v>21</v>
      </c>
      <c r="B141" s="3" t="s">
        <v>35</v>
      </c>
      <c r="C141" s="3" t="s">
        <v>39</v>
      </c>
      <c r="D141" s="3" t="s">
        <v>45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44440</v>
      </c>
      <c r="J141" s="4">
        <v>75</v>
      </c>
      <c r="K141" s="4">
        <v>75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3" t="s">
        <v>26</v>
      </c>
      <c r="R141" s="3">
        <v>0</v>
      </c>
      <c r="S141" s="3" t="s">
        <v>128</v>
      </c>
      <c r="U141" s="3">
        <v>46</v>
      </c>
      <c r="V141" s="3">
        <v>0</v>
      </c>
      <c r="W141" s="3">
        <v>0</v>
      </c>
    </row>
    <row r="142" spans="1:23" ht="11.25" customHeight="1" x14ac:dyDescent="0.25">
      <c r="A142" s="3" t="s">
        <v>21</v>
      </c>
      <c r="B142" s="3" t="s">
        <v>35</v>
      </c>
      <c r="C142" s="3" t="s">
        <v>39</v>
      </c>
      <c r="D142" s="3" t="s">
        <v>45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44470</v>
      </c>
      <c r="J142" s="4">
        <v>75</v>
      </c>
      <c r="K142" s="4">
        <v>75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3" t="s">
        <v>129</v>
      </c>
      <c r="U142" s="3">
        <v>46</v>
      </c>
      <c r="V142" s="3">
        <v>0</v>
      </c>
      <c r="W142" s="3">
        <v>0</v>
      </c>
    </row>
    <row r="143" spans="1:23" ht="11.25" customHeight="1" x14ac:dyDescent="0.25">
      <c r="A143" s="3" t="s">
        <v>21</v>
      </c>
      <c r="B143" s="3" t="s">
        <v>35</v>
      </c>
      <c r="C143" s="3" t="s">
        <v>39</v>
      </c>
      <c r="D143" s="3" t="s">
        <v>45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44501</v>
      </c>
      <c r="J143" s="4">
        <v>75</v>
      </c>
      <c r="K143" s="4">
        <v>75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3" t="s">
        <v>26</v>
      </c>
      <c r="R143" s="3">
        <v>0</v>
      </c>
      <c r="S143" s="3" t="s">
        <v>130</v>
      </c>
      <c r="U143" s="3">
        <v>46</v>
      </c>
      <c r="V143" s="3">
        <v>0</v>
      </c>
      <c r="W143" s="3">
        <v>0</v>
      </c>
    </row>
    <row r="144" spans="1:23" ht="11.25" customHeight="1" x14ac:dyDescent="0.25">
      <c r="A144" s="3" t="s">
        <v>21</v>
      </c>
      <c r="B144" s="3" t="s">
        <v>35</v>
      </c>
      <c r="C144" s="3" t="s">
        <v>39</v>
      </c>
      <c r="D144" s="3" t="s">
        <v>45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44531</v>
      </c>
      <c r="J144" s="4">
        <v>75</v>
      </c>
      <c r="K144" s="4">
        <v>75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3" t="s">
        <v>131</v>
      </c>
      <c r="U144" s="3">
        <v>46</v>
      </c>
      <c r="V144" s="3">
        <v>0</v>
      </c>
      <c r="W144" s="3">
        <v>0</v>
      </c>
    </row>
    <row r="145" spans="1:23" ht="11.25" customHeight="1" x14ac:dyDescent="0.25">
      <c r="A145" s="3" t="s">
        <v>21</v>
      </c>
      <c r="B145" s="3" t="s">
        <v>35</v>
      </c>
      <c r="C145" s="3" t="s">
        <v>39</v>
      </c>
      <c r="D145" s="3" t="s">
        <v>45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44562</v>
      </c>
      <c r="J145" s="4">
        <v>75</v>
      </c>
      <c r="K145" s="4">
        <v>75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3" t="s">
        <v>26</v>
      </c>
      <c r="R145" s="3">
        <v>0</v>
      </c>
      <c r="S145" s="3" t="s">
        <v>132</v>
      </c>
      <c r="U145" s="3">
        <v>46</v>
      </c>
      <c r="V145" s="3">
        <v>0</v>
      </c>
      <c r="W145" s="3">
        <v>0</v>
      </c>
    </row>
    <row r="146" spans="1:23" ht="11.25" customHeight="1" x14ac:dyDescent="0.25">
      <c r="A146" s="3" t="s">
        <v>21</v>
      </c>
      <c r="B146" s="3" t="s">
        <v>35</v>
      </c>
      <c r="C146" s="3" t="s">
        <v>39</v>
      </c>
      <c r="D146" s="3" t="s">
        <v>45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44593</v>
      </c>
      <c r="J146" s="4">
        <v>75</v>
      </c>
      <c r="K146" s="4">
        <v>75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3" t="s">
        <v>133</v>
      </c>
      <c r="U146" s="3">
        <v>46</v>
      </c>
      <c r="V146" s="3">
        <v>0</v>
      </c>
      <c r="W146" s="3">
        <v>0</v>
      </c>
    </row>
    <row r="147" spans="1:23" ht="11.25" customHeight="1" x14ac:dyDescent="0.25">
      <c r="A147" s="3" t="s">
        <v>21</v>
      </c>
      <c r="B147" s="3" t="s">
        <v>35</v>
      </c>
      <c r="C147" s="3" t="s">
        <v>39</v>
      </c>
      <c r="D147" s="3" t="s">
        <v>45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75</v>
      </c>
      <c r="K147" s="4">
        <v>75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3" t="s">
        <v>26</v>
      </c>
      <c r="R147" s="3">
        <v>0</v>
      </c>
      <c r="S147" s="3" t="s">
        <v>134</v>
      </c>
      <c r="U147" s="3">
        <v>46</v>
      </c>
      <c r="V147" s="3">
        <v>0</v>
      </c>
      <c r="W147" s="3">
        <v>0</v>
      </c>
    </row>
    <row r="148" spans="1:23" ht="11.25" customHeight="1" x14ac:dyDescent="0.25">
      <c r="A148" s="3" t="s">
        <v>21</v>
      </c>
      <c r="B148" s="3" t="s">
        <v>35</v>
      </c>
      <c r="C148" s="3" t="s">
        <v>39</v>
      </c>
      <c r="D148" s="3" t="s">
        <v>45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75</v>
      </c>
      <c r="K148" s="4">
        <v>75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3" t="s">
        <v>135</v>
      </c>
      <c r="U148" s="3">
        <v>46</v>
      </c>
      <c r="V148" s="3">
        <v>0</v>
      </c>
      <c r="W148" s="3">
        <v>0</v>
      </c>
    </row>
    <row r="149" spans="1:23" ht="11.25" customHeight="1" x14ac:dyDescent="0.25">
      <c r="A149" s="3" t="s">
        <v>21</v>
      </c>
      <c r="B149" s="3" t="s">
        <v>35</v>
      </c>
      <c r="C149" s="3" t="s">
        <v>39</v>
      </c>
      <c r="D149" s="3" t="s">
        <v>45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75</v>
      </c>
      <c r="K149" s="4">
        <v>75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3" t="s">
        <v>26</v>
      </c>
      <c r="R149" s="3">
        <v>0</v>
      </c>
      <c r="S149" s="3" t="s">
        <v>136</v>
      </c>
      <c r="U149" s="3">
        <v>46</v>
      </c>
      <c r="V149" s="3">
        <v>0</v>
      </c>
      <c r="W149" s="3">
        <v>0</v>
      </c>
    </row>
    <row r="150" spans="1:23" ht="11.25" customHeight="1" x14ac:dyDescent="0.25">
      <c r="A150" s="3" t="s">
        <v>21</v>
      </c>
      <c r="B150" s="3" t="s">
        <v>35</v>
      </c>
      <c r="C150" s="3" t="s">
        <v>39</v>
      </c>
      <c r="D150" s="3" t="s">
        <v>45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75</v>
      </c>
      <c r="K150" s="4">
        <v>75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3" t="s">
        <v>137</v>
      </c>
      <c r="U150" s="3">
        <v>46</v>
      </c>
      <c r="V150" s="3">
        <v>0</v>
      </c>
      <c r="W150" s="3">
        <v>0</v>
      </c>
    </row>
    <row r="151" spans="1:23" ht="11.25" customHeight="1" x14ac:dyDescent="0.25">
      <c r="A151" s="3" t="s">
        <v>21</v>
      </c>
      <c r="B151" s="3" t="s">
        <v>35</v>
      </c>
      <c r="C151" s="3" t="s">
        <v>39</v>
      </c>
      <c r="D151" s="3" t="s">
        <v>45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75</v>
      </c>
      <c r="K151" s="4">
        <v>75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3" t="s">
        <v>26</v>
      </c>
      <c r="R151" s="3">
        <v>0</v>
      </c>
      <c r="S151" s="3" t="s">
        <v>138</v>
      </c>
      <c r="U151" s="3">
        <v>46</v>
      </c>
      <c r="V151" s="3">
        <v>0</v>
      </c>
      <c r="W151" s="3">
        <v>0</v>
      </c>
    </row>
    <row r="152" spans="1:23" ht="11.25" customHeight="1" x14ac:dyDescent="0.25">
      <c r="A152" s="3" t="s">
        <v>55</v>
      </c>
      <c r="B152" s="3" t="s">
        <v>35</v>
      </c>
      <c r="C152" s="3" t="s">
        <v>39</v>
      </c>
      <c r="D152" s="3" t="s">
        <v>45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75</v>
      </c>
      <c r="K152" s="4">
        <v>75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3" t="s">
        <v>26</v>
      </c>
      <c r="R152" s="3">
        <v>0</v>
      </c>
      <c r="S152" s="3" t="s">
        <v>139</v>
      </c>
      <c r="U152" s="3">
        <v>46</v>
      </c>
      <c r="V152" s="3">
        <v>0</v>
      </c>
      <c r="W152" s="3">
        <v>0</v>
      </c>
    </row>
    <row r="153" spans="1:23" ht="11.25" customHeight="1" x14ac:dyDescent="0.25">
      <c r="A153" s="3" t="s">
        <v>21</v>
      </c>
      <c r="B153" s="3" t="s">
        <v>35</v>
      </c>
      <c r="C153" s="3" t="s">
        <v>39</v>
      </c>
      <c r="D153" s="3" t="s">
        <v>45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44440</v>
      </c>
      <c r="J153" s="4">
        <v>0</v>
      </c>
      <c r="K153" s="4">
        <v>0</v>
      </c>
      <c r="L153" s="4">
        <v>8.6999999999999994E-2</v>
      </c>
      <c r="M153" s="4">
        <v>8.6999999999999994E-2</v>
      </c>
      <c r="N153" s="4">
        <v>8.6999999999999994E-2</v>
      </c>
      <c r="O153" s="4">
        <v>8.6999999999999994E-2</v>
      </c>
      <c r="P153" s="4">
        <v>0</v>
      </c>
      <c r="Q153" s="3" t="s">
        <v>26</v>
      </c>
      <c r="R153" s="3">
        <v>0</v>
      </c>
      <c r="S153" s="3" t="s">
        <v>140</v>
      </c>
      <c r="T153" s="3" t="s">
        <v>297</v>
      </c>
      <c r="U153" s="3">
        <v>0</v>
      </c>
      <c r="V153" s="3">
        <v>35</v>
      </c>
      <c r="W153" s="3">
        <v>70</v>
      </c>
    </row>
    <row r="154" spans="1:23" ht="11.25" customHeight="1" x14ac:dyDescent="0.25">
      <c r="A154" s="3" t="s">
        <v>21</v>
      </c>
      <c r="B154" s="3" t="s">
        <v>35</v>
      </c>
      <c r="C154" s="3" t="s">
        <v>39</v>
      </c>
      <c r="D154" s="3" t="s">
        <v>45</v>
      </c>
      <c r="E154" s="3" t="s">
        <v>25</v>
      </c>
      <c r="F154" s="3" t="s">
        <v>25</v>
      </c>
      <c r="G154" s="3" t="s">
        <v>25</v>
      </c>
      <c r="H154" s="3" t="s">
        <v>37</v>
      </c>
      <c r="I154" s="6">
        <v>44470</v>
      </c>
      <c r="J154" s="4">
        <v>0</v>
      </c>
      <c r="K154" s="4">
        <v>0</v>
      </c>
      <c r="L154" s="4">
        <v>9.0999999999999998E-2</v>
      </c>
      <c r="M154" s="4">
        <v>9.0999999999999998E-2</v>
      </c>
      <c r="N154" s="4">
        <v>9.0999999999999998E-2</v>
      </c>
      <c r="O154" s="4">
        <v>9.0999999999999998E-2</v>
      </c>
      <c r="P154" s="4">
        <v>0</v>
      </c>
      <c r="Q154" s="3" t="s">
        <v>26</v>
      </c>
      <c r="R154" s="3">
        <v>0</v>
      </c>
      <c r="S154" s="3" t="s">
        <v>141</v>
      </c>
      <c r="T154" s="3" t="s">
        <v>298</v>
      </c>
      <c r="U154" s="3">
        <v>0</v>
      </c>
      <c r="V154" s="3">
        <v>35</v>
      </c>
      <c r="W154" s="3">
        <v>70</v>
      </c>
    </row>
    <row r="155" spans="1:23" ht="11.25" customHeight="1" x14ac:dyDescent="0.25">
      <c r="A155" s="3" t="s">
        <v>21</v>
      </c>
      <c r="B155" s="3" t="s">
        <v>35</v>
      </c>
      <c r="C155" s="3" t="s">
        <v>39</v>
      </c>
      <c r="D155" s="3" t="s">
        <v>45</v>
      </c>
      <c r="E155" s="3" t="s">
        <v>25</v>
      </c>
      <c r="F155" s="3" t="s">
        <v>25</v>
      </c>
      <c r="G155" s="3" t="s">
        <v>25</v>
      </c>
      <c r="H155" s="3" t="s">
        <v>37</v>
      </c>
      <c r="I155" s="6">
        <v>44501</v>
      </c>
      <c r="J155" s="4">
        <v>0</v>
      </c>
      <c r="K155" s="4">
        <v>0</v>
      </c>
      <c r="L155" s="4">
        <v>9.5000000000000001E-2</v>
      </c>
      <c r="M155" s="4">
        <v>9.5000000000000001E-2</v>
      </c>
      <c r="N155" s="4">
        <v>9.5000000000000001E-2</v>
      </c>
      <c r="O155" s="4">
        <v>9.5000000000000001E-2</v>
      </c>
      <c r="P155" s="4">
        <v>0</v>
      </c>
      <c r="Q155" s="3" t="s">
        <v>26</v>
      </c>
      <c r="R155" s="3">
        <v>0</v>
      </c>
      <c r="S155" s="3" t="s">
        <v>142</v>
      </c>
      <c r="T155" s="3" t="s">
        <v>299</v>
      </c>
      <c r="U155" s="3">
        <v>0</v>
      </c>
      <c r="V155" s="3">
        <v>35</v>
      </c>
      <c r="W155" s="3">
        <v>70</v>
      </c>
    </row>
    <row r="156" spans="1:23" ht="11.25" customHeight="1" x14ac:dyDescent="0.25">
      <c r="A156" s="3" t="s">
        <v>21</v>
      </c>
      <c r="B156" s="3" t="s">
        <v>35</v>
      </c>
      <c r="C156" s="3" t="s">
        <v>39</v>
      </c>
      <c r="D156" s="3" t="s">
        <v>45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44531</v>
      </c>
      <c r="J156" s="4">
        <v>0</v>
      </c>
      <c r="K156" s="4">
        <v>0</v>
      </c>
      <c r="L156" s="4">
        <v>9.7000000000000003E-2</v>
      </c>
      <c r="M156" s="4">
        <v>9.7000000000000003E-2</v>
      </c>
      <c r="N156" s="4">
        <v>9.7000000000000003E-2</v>
      </c>
      <c r="O156" s="4">
        <v>9.7000000000000003E-2</v>
      </c>
      <c r="P156" s="4">
        <v>0</v>
      </c>
      <c r="Q156" s="3" t="s">
        <v>26</v>
      </c>
      <c r="R156" s="3">
        <v>0</v>
      </c>
      <c r="S156" s="3" t="s">
        <v>143</v>
      </c>
      <c r="T156" s="3" t="s">
        <v>300</v>
      </c>
      <c r="U156" s="3">
        <v>0</v>
      </c>
      <c r="V156" s="3">
        <v>35</v>
      </c>
      <c r="W156" s="3">
        <v>70</v>
      </c>
    </row>
    <row r="157" spans="1:23" ht="11.25" customHeight="1" x14ac:dyDescent="0.25">
      <c r="A157" s="3" t="s">
        <v>21</v>
      </c>
      <c r="B157" s="3" t="s">
        <v>35</v>
      </c>
      <c r="C157" s="3" t="s">
        <v>39</v>
      </c>
      <c r="D157" s="3" t="s">
        <v>45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44562</v>
      </c>
      <c r="J157" s="4">
        <v>0</v>
      </c>
      <c r="K157" s="4">
        <v>0</v>
      </c>
      <c r="L157" s="4">
        <v>9.4E-2</v>
      </c>
      <c r="M157" s="4">
        <v>9.4E-2</v>
      </c>
      <c r="N157" s="4">
        <v>9.4E-2</v>
      </c>
      <c r="O157" s="4">
        <v>9.4E-2</v>
      </c>
      <c r="P157" s="4">
        <v>0</v>
      </c>
      <c r="Q157" s="3" t="s">
        <v>26</v>
      </c>
      <c r="R157" s="3">
        <v>0</v>
      </c>
      <c r="S157" s="3" t="s">
        <v>144</v>
      </c>
      <c r="T157" s="3" t="s">
        <v>301</v>
      </c>
      <c r="U157" s="3">
        <v>0</v>
      </c>
      <c r="V157" s="3">
        <v>35</v>
      </c>
      <c r="W157" s="3">
        <v>70</v>
      </c>
    </row>
    <row r="158" spans="1:23" ht="11.25" customHeight="1" x14ac:dyDescent="0.25">
      <c r="A158" s="3" t="s">
        <v>21</v>
      </c>
      <c r="B158" s="3" t="s">
        <v>35</v>
      </c>
      <c r="C158" s="3" t="s">
        <v>39</v>
      </c>
      <c r="D158" s="3" t="s">
        <v>45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44593</v>
      </c>
      <c r="J158" s="4">
        <v>0</v>
      </c>
      <c r="K158" s="4">
        <v>0</v>
      </c>
      <c r="L158" s="4">
        <v>6.9000000000000006E-2</v>
      </c>
      <c r="M158" s="4">
        <v>6.9000000000000006E-2</v>
      </c>
      <c r="N158" s="4">
        <v>6.9000000000000006E-2</v>
      </c>
      <c r="O158" s="4">
        <v>6.9000000000000006E-2</v>
      </c>
      <c r="P158" s="4">
        <v>0</v>
      </c>
      <c r="Q158" s="3" t="s">
        <v>26</v>
      </c>
      <c r="R158" s="3">
        <v>0</v>
      </c>
      <c r="S158" s="3" t="s">
        <v>145</v>
      </c>
      <c r="T158" s="3" t="s">
        <v>302</v>
      </c>
      <c r="U158" s="3">
        <v>0</v>
      </c>
      <c r="V158" s="3">
        <v>35</v>
      </c>
      <c r="W158" s="3">
        <v>70</v>
      </c>
    </row>
    <row r="159" spans="1:23" ht="11.25" customHeight="1" x14ac:dyDescent="0.25">
      <c r="A159" s="3" t="s">
        <v>21</v>
      </c>
      <c r="B159" s="3" t="s">
        <v>35</v>
      </c>
      <c r="C159" s="3" t="s">
        <v>39</v>
      </c>
      <c r="D159" s="3" t="s">
        <v>45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44621</v>
      </c>
      <c r="J159" s="4">
        <v>0</v>
      </c>
      <c r="K159" s="4">
        <v>0</v>
      </c>
      <c r="L159" s="4">
        <v>8.4000000000000005E-2</v>
      </c>
      <c r="M159" s="4">
        <v>8.4000000000000005E-2</v>
      </c>
      <c r="N159" s="4">
        <v>8.4000000000000005E-2</v>
      </c>
      <c r="O159" s="4">
        <v>8.4000000000000005E-2</v>
      </c>
      <c r="P159" s="4">
        <v>0</v>
      </c>
      <c r="Q159" s="3" t="s">
        <v>26</v>
      </c>
      <c r="R159" s="3">
        <v>0</v>
      </c>
      <c r="S159" s="3" t="s">
        <v>146</v>
      </c>
      <c r="T159" s="3" t="s">
        <v>303</v>
      </c>
      <c r="U159" s="3">
        <v>0</v>
      </c>
      <c r="V159" s="3">
        <v>35</v>
      </c>
      <c r="W159" s="3">
        <v>70</v>
      </c>
    </row>
    <row r="160" spans="1:23" ht="11.25" customHeight="1" x14ac:dyDescent="0.25">
      <c r="A160" s="3" t="s">
        <v>21</v>
      </c>
      <c r="B160" s="3" t="s">
        <v>35</v>
      </c>
      <c r="C160" s="3" t="s">
        <v>39</v>
      </c>
      <c r="D160" s="3" t="s">
        <v>45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44652</v>
      </c>
      <c r="J160" s="4">
        <v>0</v>
      </c>
      <c r="K160" s="4">
        <v>0</v>
      </c>
      <c r="L160" s="4">
        <v>0.14299999999999999</v>
      </c>
      <c r="M160" s="4">
        <v>0.14299999999999999</v>
      </c>
      <c r="N160" s="4">
        <v>0.14299999999999999</v>
      </c>
      <c r="O160" s="4">
        <v>0.14299999999999999</v>
      </c>
      <c r="P160" s="4">
        <v>0</v>
      </c>
      <c r="Q160" s="3" t="s">
        <v>26</v>
      </c>
      <c r="R160" s="3">
        <v>0</v>
      </c>
      <c r="S160" s="3" t="s">
        <v>147</v>
      </c>
      <c r="T160" s="3" t="s">
        <v>304</v>
      </c>
      <c r="U160" s="3">
        <v>0</v>
      </c>
      <c r="V160" s="3">
        <v>35</v>
      </c>
      <c r="W160" s="3">
        <v>70</v>
      </c>
    </row>
    <row r="161" spans="1:23" ht="11.25" customHeight="1" x14ac:dyDescent="0.25">
      <c r="A161" s="3" t="s">
        <v>21</v>
      </c>
      <c r="B161" s="3" t="s">
        <v>35</v>
      </c>
      <c r="C161" s="3" t="s">
        <v>39</v>
      </c>
      <c r="D161" s="3" t="s">
        <v>45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44682</v>
      </c>
      <c r="J161" s="4">
        <v>0</v>
      </c>
      <c r="K161" s="4">
        <v>0</v>
      </c>
      <c r="L161" s="4">
        <v>8.6999999999999994E-2</v>
      </c>
      <c r="M161" s="4">
        <v>8.6999999999999994E-2</v>
      </c>
      <c r="N161" s="4">
        <v>8.6999999999999994E-2</v>
      </c>
      <c r="O161" s="4">
        <v>8.6999999999999994E-2</v>
      </c>
      <c r="P161" s="4">
        <v>0</v>
      </c>
      <c r="Q161" s="3" t="s">
        <v>26</v>
      </c>
      <c r="R161" s="3">
        <v>0</v>
      </c>
      <c r="S161" s="3" t="s">
        <v>148</v>
      </c>
      <c r="T161" s="3" t="s">
        <v>305</v>
      </c>
      <c r="U161" s="3">
        <v>0</v>
      </c>
      <c r="V161" s="3">
        <v>35</v>
      </c>
      <c r="W161" s="3">
        <v>70</v>
      </c>
    </row>
    <row r="162" spans="1:23" ht="11.25" customHeight="1" x14ac:dyDescent="0.25">
      <c r="A162" s="3" t="s">
        <v>21</v>
      </c>
      <c r="B162" s="3" t="s">
        <v>35</v>
      </c>
      <c r="C162" s="3" t="s">
        <v>39</v>
      </c>
      <c r="D162" s="3" t="s">
        <v>45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44713</v>
      </c>
      <c r="J162" s="4">
        <v>0</v>
      </c>
      <c r="K162" s="4">
        <v>0</v>
      </c>
      <c r="L162" s="4">
        <v>9.0999999999999998E-2</v>
      </c>
      <c r="M162" s="4">
        <v>9.0999999999999998E-2</v>
      </c>
      <c r="N162" s="4">
        <v>9.0999999999999998E-2</v>
      </c>
      <c r="O162" s="4">
        <v>9.0999999999999998E-2</v>
      </c>
      <c r="P162" s="4">
        <v>0</v>
      </c>
      <c r="Q162" s="3" t="s">
        <v>26</v>
      </c>
      <c r="R162" s="3">
        <v>0</v>
      </c>
      <c r="S162" s="3" t="s">
        <v>149</v>
      </c>
      <c r="T162" s="3" t="s">
        <v>306</v>
      </c>
      <c r="U162" s="3">
        <v>0</v>
      </c>
      <c r="V162" s="3">
        <v>35</v>
      </c>
      <c r="W162" s="3">
        <v>70</v>
      </c>
    </row>
    <row r="163" spans="1:23" ht="11.25" customHeight="1" x14ac:dyDescent="0.25">
      <c r="A163" s="3" t="s">
        <v>21</v>
      </c>
      <c r="B163" s="3" t="s">
        <v>35</v>
      </c>
      <c r="C163" s="3" t="s">
        <v>39</v>
      </c>
      <c r="D163" s="3" t="s">
        <v>45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44743</v>
      </c>
      <c r="J163" s="4">
        <v>0</v>
      </c>
      <c r="K163" s="4">
        <v>0</v>
      </c>
      <c r="L163" s="4">
        <v>8.6999999999999994E-2</v>
      </c>
      <c r="M163" s="4">
        <v>8.6999999999999994E-2</v>
      </c>
      <c r="N163" s="4">
        <v>8.6999999999999994E-2</v>
      </c>
      <c r="O163" s="4">
        <v>8.6999999999999994E-2</v>
      </c>
      <c r="P163" s="4">
        <v>0</v>
      </c>
      <c r="Q163" s="3" t="s">
        <v>26</v>
      </c>
      <c r="R163" s="3">
        <v>0</v>
      </c>
      <c r="S163" s="3" t="s">
        <v>150</v>
      </c>
      <c r="T163" s="3" t="s">
        <v>307</v>
      </c>
      <c r="U163" s="3">
        <v>0</v>
      </c>
      <c r="V163" s="3">
        <v>35</v>
      </c>
      <c r="W163" s="3">
        <v>70</v>
      </c>
    </row>
    <row r="164" spans="1:23" ht="11.25" customHeight="1" x14ac:dyDescent="0.25">
      <c r="A164" s="3" t="s">
        <v>55</v>
      </c>
      <c r="B164" s="3" t="s">
        <v>35</v>
      </c>
      <c r="C164" s="3" t="s">
        <v>39</v>
      </c>
      <c r="D164" s="3" t="s">
        <v>45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44774</v>
      </c>
      <c r="J164" s="4">
        <v>0</v>
      </c>
      <c r="K164" s="4">
        <v>0</v>
      </c>
      <c r="L164" s="4">
        <v>8.6999999999999994E-2</v>
      </c>
      <c r="M164" s="4">
        <v>8.6999999999999994E-2</v>
      </c>
      <c r="N164" s="4">
        <v>8.6999999999999994E-2</v>
      </c>
      <c r="O164" s="4">
        <v>8.6999999999999994E-2</v>
      </c>
      <c r="P164" s="4">
        <v>0</v>
      </c>
      <c r="Q164" s="3" t="s">
        <v>26</v>
      </c>
      <c r="R164" s="3">
        <v>0</v>
      </c>
      <c r="S164" s="3" t="s">
        <v>151</v>
      </c>
      <c r="T164" s="3" t="s">
        <v>308</v>
      </c>
      <c r="U164" s="3">
        <v>0</v>
      </c>
      <c r="V164" s="3">
        <v>35</v>
      </c>
      <c r="W164" s="3">
        <v>70</v>
      </c>
    </row>
    <row r="165" spans="1:23" ht="11.25" customHeight="1" x14ac:dyDescent="0.25">
      <c r="A165" s="3" t="s">
        <v>21</v>
      </c>
      <c r="B165" s="3" t="s">
        <v>35</v>
      </c>
      <c r="C165" s="3" t="s">
        <v>39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38</v>
      </c>
      <c r="I165" s="6">
        <v>44440</v>
      </c>
      <c r="J165" s="4">
        <v>0</v>
      </c>
      <c r="K165" s="4">
        <v>0</v>
      </c>
      <c r="L165" s="4">
        <v>35.457000000000001</v>
      </c>
      <c r="M165" s="4">
        <v>34.038719999999998</v>
      </c>
      <c r="N165" s="4">
        <v>35.457000000000001</v>
      </c>
      <c r="O165" s="4">
        <v>34.038719999999998</v>
      </c>
      <c r="P165" s="4">
        <v>0</v>
      </c>
      <c r="Q165" s="3" t="s">
        <v>26</v>
      </c>
      <c r="R165" s="3">
        <v>0</v>
      </c>
      <c r="S165" s="3" t="s">
        <v>116</v>
      </c>
      <c r="T165" s="3" t="s">
        <v>285</v>
      </c>
      <c r="U165" s="3">
        <v>0</v>
      </c>
      <c r="V165" s="3">
        <v>50</v>
      </c>
      <c r="W165" s="3">
        <v>61</v>
      </c>
    </row>
    <row r="166" spans="1:23" ht="11.25" customHeight="1" x14ac:dyDescent="0.25">
      <c r="A166" s="3" t="s">
        <v>21</v>
      </c>
      <c r="B166" s="3" t="s">
        <v>35</v>
      </c>
      <c r="C166" s="3" t="s">
        <v>39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38</v>
      </c>
      <c r="I166" s="6">
        <v>44470</v>
      </c>
      <c r="J166" s="4">
        <v>0</v>
      </c>
      <c r="K166" s="4">
        <v>0</v>
      </c>
      <c r="L166" s="4">
        <v>36.095999999999997</v>
      </c>
      <c r="M166" s="4">
        <v>34.652159999999995</v>
      </c>
      <c r="N166" s="4">
        <v>36.095999999999997</v>
      </c>
      <c r="O166" s="4">
        <v>34.652159999999995</v>
      </c>
      <c r="P166" s="4">
        <v>0</v>
      </c>
      <c r="Q166" s="3" t="s">
        <v>26</v>
      </c>
      <c r="R166" s="3">
        <v>0</v>
      </c>
      <c r="S166" s="3" t="s">
        <v>117</v>
      </c>
      <c r="T166" s="3" t="s">
        <v>286</v>
      </c>
      <c r="U166" s="3">
        <v>0</v>
      </c>
      <c r="V166" s="3">
        <v>50</v>
      </c>
      <c r="W166" s="3">
        <v>61</v>
      </c>
    </row>
    <row r="167" spans="1:23" ht="11.25" customHeight="1" x14ac:dyDescent="0.25">
      <c r="A167" s="3" t="s">
        <v>21</v>
      </c>
      <c r="B167" s="3" t="s">
        <v>35</v>
      </c>
      <c r="C167" s="3" t="s">
        <v>39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38</v>
      </c>
      <c r="I167" s="6">
        <v>44501</v>
      </c>
      <c r="J167" s="4">
        <v>0</v>
      </c>
      <c r="K167" s="4">
        <v>0</v>
      </c>
      <c r="L167" s="4">
        <v>37.720999999999997</v>
      </c>
      <c r="M167" s="4">
        <v>36.212159999999997</v>
      </c>
      <c r="N167" s="4">
        <v>37.720999999999997</v>
      </c>
      <c r="O167" s="4">
        <v>36.212159999999997</v>
      </c>
      <c r="P167" s="4">
        <v>0</v>
      </c>
      <c r="Q167" s="3" t="s">
        <v>26</v>
      </c>
      <c r="R167" s="3">
        <v>0</v>
      </c>
      <c r="S167" s="3" t="s">
        <v>118</v>
      </c>
      <c r="T167" s="3" t="s">
        <v>287</v>
      </c>
      <c r="U167" s="3">
        <v>0</v>
      </c>
      <c r="V167" s="3">
        <v>50</v>
      </c>
      <c r="W167" s="3">
        <v>61</v>
      </c>
    </row>
    <row r="168" spans="1:23" ht="11.25" customHeight="1" x14ac:dyDescent="0.25">
      <c r="A168" s="3" t="s">
        <v>21</v>
      </c>
      <c r="B168" s="3" t="s">
        <v>35</v>
      </c>
      <c r="C168" s="3" t="s">
        <v>39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38</v>
      </c>
      <c r="I168" s="6">
        <v>44531</v>
      </c>
      <c r="J168" s="4">
        <v>0</v>
      </c>
      <c r="K168" s="4">
        <v>0</v>
      </c>
      <c r="L168" s="4">
        <v>39.991</v>
      </c>
      <c r="M168" s="4">
        <v>38.391359999999999</v>
      </c>
      <c r="N168" s="4">
        <v>39.991</v>
      </c>
      <c r="O168" s="4">
        <v>38.391359999999999</v>
      </c>
      <c r="P168" s="4">
        <v>0</v>
      </c>
      <c r="Q168" s="3" t="s">
        <v>26</v>
      </c>
      <c r="R168" s="3">
        <v>0</v>
      </c>
      <c r="S168" s="3" t="s">
        <v>119</v>
      </c>
      <c r="T168" s="3" t="s">
        <v>288</v>
      </c>
      <c r="U168" s="3">
        <v>0</v>
      </c>
      <c r="V168" s="3">
        <v>50</v>
      </c>
      <c r="W168" s="3">
        <v>61</v>
      </c>
    </row>
    <row r="169" spans="1:23" ht="11.25" customHeight="1" x14ac:dyDescent="0.25">
      <c r="A169" s="3" t="s">
        <v>21</v>
      </c>
      <c r="B169" s="3" t="s">
        <v>35</v>
      </c>
      <c r="C169" s="3" t="s">
        <v>39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38</v>
      </c>
      <c r="I169" s="6">
        <v>44562</v>
      </c>
      <c r="J169" s="4">
        <v>0</v>
      </c>
      <c r="K169" s="4">
        <v>0</v>
      </c>
      <c r="L169" s="4">
        <v>40.545999999999999</v>
      </c>
      <c r="M169" s="4">
        <v>38.924160000000001</v>
      </c>
      <c r="N169" s="4">
        <v>40.545999999999999</v>
      </c>
      <c r="O169" s="4">
        <v>38.924160000000001</v>
      </c>
      <c r="P169" s="4">
        <v>0</v>
      </c>
      <c r="Q169" s="3" t="s">
        <v>26</v>
      </c>
      <c r="R169" s="3">
        <v>0</v>
      </c>
      <c r="S169" s="3" t="s">
        <v>120</v>
      </c>
      <c r="T169" s="3" t="s">
        <v>289</v>
      </c>
      <c r="U169" s="3">
        <v>0</v>
      </c>
      <c r="V169" s="3">
        <v>50</v>
      </c>
      <c r="W169" s="3">
        <v>61</v>
      </c>
    </row>
    <row r="170" spans="1:23" ht="11.25" customHeight="1" x14ac:dyDescent="0.25">
      <c r="A170" s="3" t="s">
        <v>21</v>
      </c>
      <c r="B170" s="3" t="s">
        <v>35</v>
      </c>
      <c r="C170" s="3" t="s">
        <v>39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38</v>
      </c>
      <c r="I170" s="6">
        <v>44593</v>
      </c>
      <c r="J170" s="4">
        <v>0</v>
      </c>
      <c r="K170" s="4">
        <v>0</v>
      </c>
      <c r="L170" s="4">
        <v>40.496000000000002</v>
      </c>
      <c r="M170" s="4">
        <v>38.876159999999999</v>
      </c>
      <c r="N170" s="4">
        <v>40.496000000000002</v>
      </c>
      <c r="O170" s="4">
        <v>38.876159999999999</v>
      </c>
      <c r="P170" s="4">
        <v>0</v>
      </c>
      <c r="Q170" s="3" t="s">
        <v>26</v>
      </c>
      <c r="R170" s="3">
        <v>0</v>
      </c>
      <c r="S170" s="3" t="s">
        <v>121</v>
      </c>
      <c r="T170" s="3" t="s">
        <v>290</v>
      </c>
      <c r="U170" s="3">
        <v>0</v>
      </c>
      <c r="V170" s="3">
        <v>50</v>
      </c>
      <c r="W170" s="3">
        <v>61</v>
      </c>
    </row>
    <row r="171" spans="1:23" ht="11.25" customHeight="1" x14ac:dyDescent="0.25">
      <c r="A171" s="3" t="s">
        <v>21</v>
      </c>
      <c r="B171" s="3" t="s">
        <v>35</v>
      </c>
      <c r="C171" s="3" t="s">
        <v>39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38</v>
      </c>
      <c r="I171" s="6">
        <v>44621</v>
      </c>
      <c r="J171" s="4">
        <v>0</v>
      </c>
      <c r="K171" s="4">
        <v>0</v>
      </c>
      <c r="L171" s="4">
        <v>39.790999999999997</v>
      </c>
      <c r="M171" s="4">
        <v>38.199359999999999</v>
      </c>
      <c r="N171" s="4">
        <v>39.790999999999997</v>
      </c>
      <c r="O171" s="4">
        <v>38.199359999999999</v>
      </c>
      <c r="P171" s="4">
        <v>0</v>
      </c>
      <c r="Q171" s="3" t="s">
        <v>26</v>
      </c>
      <c r="R171" s="3">
        <v>0</v>
      </c>
      <c r="S171" s="3" t="s">
        <v>122</v>
      </c>
      <c r="T171" s="3" t="s">
        <v>291</v>
      </c>
      <c r="U171" s="3">
        <v>0</v>
      </c>
      <c r="V171" s="3">
        <v>50</v>
      </c>
      <c r="W171" s="3">
        <v>61</v>
      </c>
    </row>
    <row r="172" spans="1:23" ht="11.25" customHeight="1" x14ac:dyDescent="0.25">
      <c r="A172" s="3" t="s">
        <v>21</v>
      </c>
      <c r="B172" s="3" t="s">
        <v>35</v>
      </c>
      <c r="C172" s="3" t="s">
        <v>39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38</v>
      </c>
      <c r="I172" s="6">
        <v>44652</v>
      </c>
      <c r="J172" s="4">
        <v>0</v>
      </c>
      <c r="K172" s="4">
        <v>0</v>
      </c>
      <c r="L172" s="4">
        <v>38.433</v>
      </c>
      <c r="M172" s="4">
        <v>36.895679999999999</v>
      </c>
      <c r="N172" s="4">
        <v>38.433</v>
      </c>
      <c r="O172" s="4">
        <v>36.895679999999999</v>
      </c>
      <c r="P172" s="4">
        <v>0</v>
      </c>
      <c r="Q172" s="3" t="s">
        <v>26</v>
      </c>
      <c r="R172" s="3">
        <v>0</v>
      </c>
      <c r="S172" s="3" t="s">
        <v>123</v>
      </c>
      <c r="T172" s="3" t="s">
        <v>292</v>
      </c>
      <c r="U172" s="3">
        <v>0</v>
      </c>
      <c r="V172" s="3">
        <v>50</v>
      </c>
      <c r="W172" s="3">
        <v>61</v>
      </c>
    </row>
    <row r="173" spans="1:23" ht="11.25" customHeight="1" x14ac:dyDescent="0.25">
      <c r="A173" s="3" t="s">
        <v>21</v>
      </c>
      <c r="B173" s="3" t="s">
        <v>35</v>
      </c>
      <c r="C173" s="3" t="s">
        <v>39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38</v>
      </c>
      <c r="I173" s="6">
        <v>44682</v>
      </c>
      <c r="J173" s="4">
        <v>0</v>
      </c>
      <c r="K173" s="4">
        <v>0</v>
      </c>
      <c r="L173" s="4">
        <v>34.738999999999997</v>
      </c>
      <c r="M173" s="4">
        <v>33.349439999999994</v>
      </c>
      <c r="N173" s="4">
        <v>34.738999999999997</v>
      </c>
      <c r="O173" s="4">
        <v>33.349439999999994</v>
      </c>
      <c r="P173" s="4">
        <v>0</v>
      </c>
      <c r="Q173" s="3" t="s">
        <v>26</v>
      </c>
      <c r="R173" s="3">
        <v>0</v>
      </c>
      <c r="S173" s="3" t="s">
        <v>124</v>
      </c>
      <c r="T173" s="3" t="s">
        <v>293</v>
      </c>
      <c r="U173" s="3">
        <v>0</v>
      </c>
      <c r="V173" s="3">
        <v>50</v>
      </c>
      <c r="W173" s="3">
        <v>61</v>
      </c>
    </row>
    <row r="174" spans="1:23" ht="11.25" customHeight="1" x14ac:dyDescent="0.25">
      <c r="A174" s="3" t="s">
        <v>21</v>
      </c>
      <c r="B174" s="3" t="s">
        <v>35</v>
      </c>
      <c r="C174" s="3" t="s">
        <v>39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38</v>
      </c>
      <c r="I174" s="6">
        <v>44713</v>
      </c>
      <c r="J174" s="4">
        <v>0</v>
      </c>
      <c r="K174" s="4">
        <v>0</v>
      </c>
      <c r="L174" s="4">
        <v>33.51</v>
      </c>
      <c r="M174" s="4">
        <v>32.169599999999996</v>
      </c>
      <c r="N174" s="4">
        <v>33.51</v>
      </c>
      <c r="O174" s="4">
        <v>32.169599999999996</v>
      </c>
      <c r="P174" s="4">
        <v>0</v>
      </c>
      <c r="Q174" s="3" t="s">
        <v>26</v>
      </c>
      <c r="R174" s="3">
        <v>0</v>
      </c>
      <c r="S174" s="3" t="s">
        <v>125</v>
      </c>
      <c r="T174" s="3" t="s">
        <v>294</v>
      </c>
      <c r="U174" s="3">
        <v>0</v>
      </c>
      <c r="V174" s="3">
        <v>50</v>
      </c>
      <c r="W174" s="3">
        <v>61</v>
      </c>
    </row>
    <row r="175" spans="1:23" ht="11.25" customHeight="1" x14ac:dyDescent="0.25">
      <c r="A175" s="3" t="s">
        <v>21</v>
      </c>
      <c r="B175" s="3" t="s">
        <v>35</v>
      </c>
      <c r="C175" s="3" t="s">
        <v>39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38</v>
      </c>
      <c r="I175" s="6">
        <v>44743</v>
      </c>
      <c r="J175" s="4">
        <v>0</v>
      </c>
      <c r="K175" s="4">
        <v>0</v>
      </c>
      <c r="L175" s="4">
        <v>32.932000000000002</v>
      </c>
      <c r="M175" s="4">
        <v>31.614720000000002</v>
      </c>
      <c r="N175" s="4">
        <v>32.932000000000002</v>
      </c>
      <c r="O175" s="4">
        <v>31.614720000000002</v>
      </c>
      <c r="P175" s="4">
        <v>0</v>
      </c>
      <c r="Q175" s="3" t="s">
        <v>26</v>
      </c>
      <c r="R175" s="3">
        <v>0</v>
      </c>
      <c r="S175" s="3" t="s">
        <v>126</v>
      </c>
      <c r="T175" s="3" t="s">
        <v>295</v>
      </c>
      <c r="U175" s="3">
        <v>0</v>
      </c>
      <c r="V175" s="3">
        <v>50</v>
      </c>
      <c r="W175" s="3">
        <v>61</v>
      </c>
    </row>
    <row r="176" spans="1:23" ht="11.25" customHeight="1" x14ac:dyDescent="0.25">
      <c r="A176" s="3" t="s">
        <v>55</v>
      </c>
      <c r="B176" s="3" t="s">
        <v>35</v>
      </c>
      <c r="C176" s="3" t="s">
        <v>39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38</v>
      </c>
      <c r="I176" s="6">
        <v>44774</v>
      </c>
      <c r="J176" s="4">
        <v>0</v>
      </c>
      <c r="K176" s="4">
        <v>0</v>
      </c>
      <c r="L176" s="4">
        <v>32.932000000000002</v>
      </c>
      <c r="M176" s="4">
        <v>31.614720000000002</v>
      </c>
      <c r="N176" s="4">
        <v>32.932000000000002</v>
      </c>
      <c r="O176" s="4">
        <v>31.614720000000002</v>
      </c>
      <c r="P176" s="4">
        <v>0</v>
      </c>
      <c r="Q176" s="3" t="s">
        <v>26</v>
      </c>
      <c r="R176" s="3">
        <v>0</v>
      </c>
      <c r="S176" s="3" t="s">
        <v>127</v>
      </c>
      <c r="T176" s="3" t="s">
        <v>296</v>
      </c>
      <c r="U176" s="3">
        <v>0</v>
      </c>
      <c r="V176" s="3">
        <v>50</v>
      </c>
      <c r="W176" s="3">
        <v>61</v>
      </c>
    </row>
    <row r="177" spans="1:23" ht="11.25" customHeight="1" x14ac:dyDescent="0.25">
      <c r="A177" s="3" t="s">
        <v>21</v>
      </c>
      <c r="B177" s="3" t="s">
        <v>35</v>
      </c>
      <c r="C177" s="3" t="s">
        <v>39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44440</v>
      </c>
      <c r="J177" s="4">
        <v>134</v>
      </c>
      <c r="K177" s="4">
        <v>128.63999999999999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3" t="s">
        <v>26</v>
      </c>
      <c r="R177" s="3">
        <v>0</v>
      </c>
      <c r="S177" s="3" t="s">
        <v>128</v>
      </c>
      <c r="U177" s="3">
        <v>46</v>
      </c>
      <c r="V177" s="3">
        <v>0</v>
      </c>
      <c r="W177" s="3">
        <v>0</v>
      </c>
    </row>
    <row r="178" spans="1:23" ht="11.25" customHeight="1" x14ac:dyDescent="0.25">
      <c r="A178" s="3" t="s">
        <v>21</v>
      </c>
      <c r="B178" s="3" t="s">
        <v>35</v>
      </c>
      <c r="C178" s="3" t="s">
        <v>39</v>
      </c>
      <c r="D178" s="3" t="s">
        <v>44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44470</v>
      </c>
      <c r="J178" s="4">
        <v>142</v>
      </c>
      <c r="K178" s="4">
        <v>136.32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3" t="s">
        <v>26</v>
      </c>
      <c r="R178" s="3">
        <v>0</v>
      </c>
      <c r="S178" s="3" t="s">
        <v>129</v>
      </c>
      <c r="U178" s="3">
        <v>46</v>
      </c>
      <c r="V178" s="3">
        <v>0</v>
      </c>
      <c r="W178" s="3">
        <v>0</v>
      </c>
    </row>
    <row r="179" spans="1:23" ht="11.25" customHeight="1" x14ac:dyDescent="0.25">
      <c r="A179" s="3" t="s">
        <v>21</v>
      </c>
      <c r="B179" s="3" t="s">
        <v>35</v>
      </c>
      <c r="C179" s="3" t="s">
        <v>39</v>
      </c>
      <c r="D179" s="3" t="s">
        <v>44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44501</v>
      </c>
      <c r="J179" s="4">
        <v>153</v>
      </c>
      <c r="K179" s="4">
        <v>146.88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3" t="s">
        <v>26</v>
      </c>
      <c r="R179" s="3">
        <v>0</v>
      </c>
      <c r="S179" s="3" t="s">
        <v>130</v>
      </c>
      <c r="U179" s="3">
        <v>46</v>
      </c>
      <c r="V179" s="3">
        <v>0</v>
      </c>
      <c r="W179" s="3">
        <v>0</v>
      </c>
    </row>
    <row r="180" spans="1:23" ht="11.25" customHeight="1" x14ac:dyDescent="0.25">
      <c r="A180" s="3" t="s">
        <v>21</v>
      </c>
      <c r="B180" s="3" t="s">
        <v>35</v>
      </c>
      <c r="C180" s="3" t="s">
        <v>39</v>
      </c>
      <c r="D180" s="3" t="s">
        <v>44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44531</v>
      </c>
      <c r="J180" s="4">
        <v>150</v>
      </c>
      <c r="K180" s="4">
        <v>144</v>
      </c>
      <c r="L180" s="4">
        <v>0</v>
      </c>
      <c r="M180" s="4">
        <v>0</v>
      </c>
      <c r="N180" s="4">
        <v>0</v>
      </c>
      <c r="O180" s="4">
        <v>0</v>
      </c>
      <c r="P180" s="4">
        <v>1</v>
      </c>
      <c r="Q180" s="3" t="s">
        <v>26</v>
      </c>
      <c r="R180" s="3">
        <v>0</v>
      </c>
      <c r="S180" s="3" t="s">
        <v>131</v>
      </c>
      <c r="U180" s="3">
        <v>46</v>
      </c>
      <c r="V180" s="3">
        <v>0</v>
      </c>
      <c r="W180" s="3">
        <v>0</v>
      </c>
    </row>
    <row r="181" spans="1:23" ht="11.25" customHeight="1" x14ac:dyDescent="0.25">
      <c r="A181" s="3" t="s">
        <v>21</v>
      </c>
      <c r="B181" s="3" t="s">
        <v>35</v>
      </c>
      <c r="C181" s="3" t="s">
        <v>39</v>
      </c>
      <c r="D181" s="3" t="s">
        <v>44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44562</v>
      </c>
      <c r="J181" s="4">
        <v>167</v>
      </c>
      <c r="K181" s="4">
        <v>160.32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3" t="s">
        <v>26</v>
      </c>
      <c r="R181" s="3">
        <v>0</v>
      </c>
      <c r="S181" s="3" t="s">
        <v>132</v>
      </c>
      <c r="U181" s="3">
        <v>46</v>
      </c>
      <c r="V181" s="3">
        <v>0</v>
      </c>
      <c r="W181" s="3">
        <v>0</v>
      </c>
    </row>
    <row r="182" spans="1:23" ht="11.25" customHeight="1" x14ac:dyDescent="0.25">
      <c r="A182" s="3" t="s">
        <v>21</v>
      </c>
      <c r="B182" s="3" t="s">
        <v>35</v>
      </c>
      <c r="C182" s="3" t="s">
        <v>39</v>
      </c>
      <c r="D182" s="3" t="s">
        <v>44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44593</v>
      </c>
      <c r="J182" s="4">
        <v>163</v>
      </c>
      <c r="K182" s="4">
        <v>156.47999999999999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3" t="s">
        <v>26</v>
      </c>
      <c r="R182" s="3">
        <v>0</v>
      </c>
      <c r="S182" s="3" t="s">
        <v>133</v>
      </c>
      <c r="U182" s="3">
        <v>46</v>
      </c>
      <c r="V182" s="3">
        <v>0</v>
      </c>
      <c r="W182" s="3">
        <v>0</v>
      </c>
    </row>
    <row r="183" spans="1:23" ht="11.25" customHeight="1" x14ac:dyDescent="0.25">
      <c r="A183" s="3" t="s">
        <v>21</v>
      </c>
      <c r="B183" s="3" t="s">
        <v>35</v>
      </c>
      <c r="C183" s="3" t="s">
        <v>39</v>
      </c>
      <c r="D183" s="3" t="s">
        <v>44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44621</v>
      </c>
      <c r="J183" s="4">
        <v>151</v>
      </c>
      <c r="K183" s="4">
        <v>144.96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3" t="s">
        <v>26</v>
      </c>
      <c r="R183" s="3">
        <v>0</v>
      </c>
      <c r="S183" s="3" t="s">
        <v>134</v>
      </c>
      <c r="U183" s="3">
        <v>46</v>
      </c>
      <c r="V183" s="3">
        <v>0</v>
      </c>
      <c r="W183" s="3">
        <v>0</v>
      </c>
    </row>
    <row r="184" spans="1:23" ht="11.25" customHeight="1" x14ac:dyDescent="0.25">
      <c r="A184" s="3" t="s">
        <v>21</v>
      </c>
      <c r="B184" s="3" t="s">
        <v>35</v>
      </c>
      <c r="C184" s="3" t="s">
        <v>39</v>
      </c>
      <c r="D184" s="3" t="s">
        <v>44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44652</v>
      </c>
      <c r="J184" s="4">
        <v>151</v>
      </c>
      <c r="K184" s="4">
        <v>144.96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3" t="s">
        <v>26</v>
      </c>
      <c r="R184" s="3">
        <v>0</v>
      </c>
      <c r="S184" s="3" t="s">
        <v>135</v>
      </c>
      <c r="U184" s="3">
        <v>46</v>
      </c>
      <c r="V184" s="3">
        <v>0</v>
      </c>
      <c r="W184" s="3">
        <v>0</v>
      </c>
    </row>
    <row r="185" spans="1:23" ht="11.25" customHeight="1" x14ac:dyDescent="0.25">
      <c r="A185" s="3" t="s">
        <v>21</v>
      </c>
      <c r="B185" s="3" t="s">
        <v>35</v>
      </c>
      <c r="C185" s="3" t="s">
        <v>39</v>
      </c>
      <c r="D185" s="3" t="s">
        <v>44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44682</v>
      </c>
      <c r="J185" s="4">
        <v>170</v>
      </c>
      <c r="K185" s="4">
        <v>163.19999999999999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3" t="s">
        <v>26</v>
      </c>
      <c r="R185" s="3">
        <v>0</v>
      </c>
      <c r="S185" s="3" t="s">
        <v>136</v>
      </c>
      <c r="U185" s="3">
        <v>46</v>
      </c>
      <c r="V185" s="3">
        <v>0</v>
      </c>
      <c r="W185" s="3">
        <v>0</v>
      </c>
    </row>
    <row r="186" spans="1:23" ht="11.25" customHeight="1" x14ac:dyDescent="0.25">
      <c r="A186" s="3" t="s">
        <v>21</v>
      </c>
      <c r="B186" s="3" t="s">
        <v>35</v>
      </c>
      <c r="C186" s="3" t="s">
        <v>39</v>
      </c>
      <c r="D186" s="3" t="s">
        <v>44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44713</v>
      </c>
      <c r="J186" s="4">
        <v>170</v>
      </c>
      <c r="K186" s="4">
        <v>163.19999999999999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3" t="s">
        <v>26</v>
      </c>
      <c r="R186" s="3">
        <v>0</v>
      </c>
      <c r="S186" s="3" t="s">
        <v>137</v>
      </c>
      <c r="U186" s="3">
        <v>46</v>
      </c>
      <c r="V186" s="3">
        <v>0</v>
      </c>
      <c r="W186" s="3">
        <v>0</v>
      </c>
    </row>
    <row r="187" spans="1:23" ht="11.25" customHeight="1" x14ac:dyDescent="0.25">
      <c r="A187" s="3" t="s">
        <v>21</v>
      </c>
      <c r="B187" s="3" t="s">
        <v>35</v>
      </c>
      <c r="C187" s="3" t="s">
        <v>39</v>
      </c>
      <c r="D187" s="3" t="s">
        <v>44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44743</v>
      </c>
      <c r="J187" s="4">
        <v>170</v>
      </c>
      <c r="K187" s="4">
        <v>163.19999999999999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3" t="s">
        <v>26</v>
      </c>
      <c r="R187" s="3">
        <v>0</v>
      </c>
      <c r="S187" s="3" t="s">
        <v>138</v>
      </c>
      <c r="U187" s="3">
        <v>46</v>
      </c>
      <c r="V187" s="3">
        <v>0</v>
      </c>
      <c r="W187" s="3">
        <v>0</v>
      </c>
    </row>
    <row r="188" spans="1:23" ht="11.25" customHeight="1" x14ac:dyDescent="0.25">
      <c r="A188" s="3" t="s">
        <v>55</v>
      </c>
      <c r="B188" s="3" t="s">
        <v>35</v>
      </c>
      <c r="C188" s="3" t="s">
        <v>39</v>
      </c>
      <c r="D188" s="3" t="s">
        <v>44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44774</v>
      </c>
      <c r="J188" s="4">
        <v>170</v>
      </c>
      <c r="K188" s="4">
        <v>163.19999999999999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3" t="s">
        <v>26</v>
      </c>
      <c r="R188" s="3">
        <v>0</v>
      </c>
      <c r="S188" s="3" t="s">
        <v>139</v>
      </c>
      <c r="U188" s="3">
        <v>46</v>
      </c>
      <c r="V188" s="3">
        <v>0</v>
      </c>
      <c r="W188" s="3">
        <v>0</v>
      </c>
    </row>
    <row r="189" spans="1:23" ht="11.25" customHeight="1" x14ac:dyDescent="0.25">
      <c r="A189" s="3" t="s">
        <v>21</v>
      </c>
      <c r="B189" s="3" t="s">
        <v>35</v>
      </c>
      <c r="C189" s="3" t="s">
        <v>39</v>
      </c>
      <c r="D189" s="3" t="s">
        <v>44</v>
      </c>
      <c r="E189" s="3" t="s">
        <v>25</v>
      </c>
      <c r="F189" s="3" t="s">
        <v>25</v>
      </c>
      <c r="G189" s="3" t="s">
        <v>25</v>
      </c>
      <c r="H189" s="3" t="s">
        <v>37</v>
      </c>
      <c r="I189" s="6">
        <v>44440</v>
      </c>
      <c r="J189" s="4">
        <v>0</v>
      </c>
      <c r="K189" s="4">
        <v>0</v>
      </c>
      <c r="L189" s="4">
        <v>0.28299999999999997</v>
      </c>
      <c r="M189" s="4">
        <v>0.27167999999999998</v>
      </c>
      <c r="N189" s="4">
        <v>0.28299999999999997</v>
      </c>
      <c r="O189" s="4">
        <v>0.27167999999999998</v>
      </c>
      <c r="P189" s="4">
        <v>0</v>
      </c>
      <c r="Q189" s="3" t="s">
        <v>26</v>
      </c>
      <c r="R189" s="3">
        <v>0</v>
      </c>
      <c r="S189" s="3" t="s">
        <v>140</v>
      </c>
      <c r="T189" s="3" t="s">
        <v>297</v>
      </c>
      <c r="U189" s="3">
        <v>0</v>
      </c>
      <c r="V189" s="3">
        <v>35</v>
      </c>
      <c r="W189" s="3">
        <v>70</v>
      </c>
    </row>
    <row r="190" spans="1:23" ht="11.25" customHeight="1" x14ac:dyDescent="0.25">
      <c r="A190" s="3" t="s">
        <v>21</v>
      </c>
      <c r="B190" s="3" t="s">
        <v>35</v>
      </c>
      <c r="C190" s="3" t="s">
        <v>39</v>
      </c>
      <c r="D190" s="3" t="s">
        <v>44</v>
      </c>
      <c r="E190" s="3" t="s">
        <v>25</v>
      </c>
      <c r="F190" s="3" t="s">
        <v>25</v>
      </c>
      <c r="G190" s="3" t="s">
        <v>25</v>
      </c>
      <c r="H190" s="3" t="s">
        <v>37</v>
      </c>
      <c r="I190" s="6">
        <v>44470</v>
      </c>
      <c r="J190" s="4">
        <v>0</v>
      </c>
      <c r="K190" s="4">
        <v>0</v>
      </c>
      <c r="L190" s="4">
        <v>0.79800000000000004</v>
      </c>
      <c r="M190" s="4">
        <v>0.76607999999999998</v>
      </c>
      <c r="N190" s="4">
        <v>0.79800000000000004</v>
      </c>
      <c r="O190" s="4">
        <v>0.76607999999999998</v>
      </c>
      <c r="P190" s="4">
        <v>0</v>
      </c>
      <c r="Q190" s="3" t="s">
        <v>26</v>
      </c>
      <c r="R190" s="3">
        <v>0</v>
      </c>
      <c r="S190" s="3" t="s">
        <v>141</v>
      </c>
      <c r="T190" s="3" t="s">
        <v>298</v>
      </c>
      <c r="U190" s="3">
        <v>0</v>
      </c>
      <c r="V190" s="3">
        <v>35</v>
      </c>
      <c r="W190" s="3">
        <v>70</v>
      </c>
    </row>
    <row r="191" spans="1:23" ht="11.25" customHeight="1" x14ac:dyDescent="0.25">
      <c r="A191" s="3" t="s">
        <v>21</v>
      </c>
      <c r="B191" s="3" t="s">
        <v>35</v>
      </c>
      <c r="C191" s="3" t="s">
        <v>39</v>
      </c>
      <c r="D191" s="3" t="s">
        <v>44</v>
      </c>
      <c r="E191" s="3" t="s">
        <v>25</v>
      </c>
      <c r="F191" s="3" t="s">
        <v>25</v>
      </c>
      <c r="G191" s="3" t="s">
        <v>25</v>
      </c>
      <c r="H191" s="3" t="s">
        <v>37</v>
      </c>
      <c r="I191" s="6">
        <v>44501</v>
      </c>
      <c r="J191" s="4">
        <v>0</v>
      </c>
      <c r="K191" s="4">
        <v>0</v>
      </c>
      <c r="L191" s="4">
        <v>0.65900000000000003</v>
      </c>
      <c r="M191" s="4">
        <v>0.63263999999999998</v>
      </c>
      <c r="N191" s="4">
        <v>0.65900000000000003</v>
      </c>
      <c r="O191" s="4">
        <v>0.63263999999999998</v>
      </c>
      <c r="P191" s="4">
        <v>0</v>
      </c>
      <c r="Q191" s="3" t="s">
        <v>26</v>
      </c>
      <c r="R191" s="3">
        <v>0</v>
      </c>
      <c r="S191" s="3" t="s">
        <v>142</v>
      </c>
      <c r="T191" s="3" t="s">
        <v>299</v>
      </c>
      <c r="U191" s="3">
        <v>0</v>
      </c>
      <c r="V191" s="3">
        <v>35</v>
      </c>
      <c r="W191" s="3">
        <v>70</v>
      </c>
    </row>
    <row r="192" spans="1:23" ht="11.25" customHeight="1" x14ac:dyDescent="0.25">
      <c r="A192" s="3" t="s">
        <v>21</v>
      </c>
      <c r="B192" s="3" t="s">
        <v>35</v>
      </c>
      <c r="C192" s="3" t="s">
        <v>39</v>
      </c>
      <c r="D192" s="3" t="s">
        <v>44</v>
      </c>
      <c r="E192" s="3" t="s">
        <v>25</v>
      </c>
      <c r="F192" s="3" t="s">
        <v>25</v>
      </c>
      <c r="G192" s="3" t="s">
        <v>25</v>
      </c>
      <c r="H192" s="3" t="s">
        <v>37</v>
      </c>
      <c r="I192" s="6">
        <v>44531</v>
      </c>
      <c r="J192" s="4">
        <v>0</v>
      </c>
      <c r="K192" s="4">
        <v>0</v>
      </c>
      <c r="L192" s="4">
        <v>1.33</v>
      </c>
      <c r="M192" s="4">
        <v>1.2767999999999999</v>
      </c>
      <c r="N192" s="4">
        <v>1.33</v>
      </c>
      <c r="O192" s="4">
        <v>1.2767999999999999</v>
      </c>
      <c r="P192" s="4">
        <v>0</v>
      </c>
      <c r="Q192" s="3" t="s">
        <v>26</v>
      </c>
      <c r="R192" s="3">
        <v>0</v>
      </c>
      <c r="S192" s="3" t="s">
        <v>143</v>
      </c>
      <c r="T192" s="3" t="s">
        <v>300</v>
      </c>
      <c r="U192" s="3">
        <v>0</v>
      </c>
      <c r="V192" s="3">
        <v>35</v>
      </c>
      <c r="W192" s="3">
        <v>70</v>
      </c>
    </row>
    <row r="193" spans="1:23" ht="11.25" customHeight="1" x14ac:dyDescent="0.25">
      <c r="A193" s="3" t="s">
        <v>21</v>
      </c>
      <c r="B193" s="3" t="s">
        <v>35</v>
      </c>
      <c r="C193" s="3" t="s">
        <v>39</v>
      </c>
      <c r="D193" s="3" t="s">
        <v>44</v>
      </c>
      <c r="E193" s="3" t="s">
        <v>25</v>
      </c>
      <c r="F193" s="3" t="s">
        <v>25</v>
      </c>
      <c r="G193" s="3" t="s">
        <v>25</v>
      </c>
      <c r="H193" s="3" t="s">
        <v>37</v>
      </c>
      <c r="I193" s="6">
        <v>44562</v>
      </c>
      <c r="J193" s="4">
        <v>0</v>
      </c>
      <c r="K193" s="4">
        <v>0</v>
      </c>
      <c r="L193" s="4">
        <v>1.4119999999999999</v>
      </c>
      <c r="M193" s="4">
        <v>1.3555199999999998</v>
      </c>
      <c r="N193" s="4">
        <v>1.4119999999999999</v>
      </c>
      <c r="O193" s="4">
        <v>1.3555199999999998</v>
      </c>
      <c r="P193" s="4">
        <v>0</v>
      </c>
      <c r="Q193" s="3" t="s">
        <v>26</v>
      </c>
      <c r="R193" s="3">
        <v>0</v>
      </c>
      <c r="S193" s="3" t="s">
        <v>144</v>
      </c>
      <c r="T193" s="3" t="s">
        <v>301</v>
      </c>
      <c r="U193" s="3">
        <v>0</v>
      </c>
      <c r="V193" s="3">
        <v>35</v>
      </c>
      <c r="W193" s="3">
        <v>70</v>
      </c>
    </row>
    <row r="194" spans="1:23" ht="11.25" customHeight="1" x14ac:dyDescent="0.25">
      <c r="A194" s="3" t="s">
        <v>21</v>
      </c>
      <c r="B194" s="3" t="s">
        <v>35</v>
      </c>
      <c r="C194" s="3" t="s">
        <v>39</v>
      </c>
      <c r="D194" s="3" t="s">
        <v>44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44593</v>
      </c>
      <c r="J194" s="4">
        <v>0</v>
      </c>
      <c r="K194" s="4">
        <v>0</v>
      </c>
      <c r="L194" s="4">
        <v>0.27</v>
      </c>
      <c r="M194" s="4">
        <v>0.25919999999999999</v>
      </c>
      <c r="N194" s="4">
        <v>0.27</v>
      </c>
      <c r="O194" s="4">
        <v>0.25919999999999999</v>
      </c>
      <c r="P194" s="4">
        <v>0</v>
      </c>
      <c r="Q194" s="3" t="s">
        <v>26</v>
      </c>
      <c r="R194" s="3">
        <v>0</v>
      </c>
      <c r="S194" s="3" t="s">
        <v>145</v>
      </c>
      <c r="T194" s="3" t="s">
        <v>302</v>
      </c>
      <c r="U194" s="3">
        <v>0</v>
      </c>
      <c r="V194" s="3">
        <v>35</v>
      </c>
      <c r="W194" s="3">
        <v>70</v>
      </c>
    </row>
    <row r="195" spans="1:23" ht="11.25" customHeight="1" x14ac:dyDescent="0.25">
      <c r="A195" s="3" t="s">
        <v>21</v>
      </c>
      <c r="B195" s="3" t="s">
        <v>35</v>
      </c>
      <c r="C195" s="3" t="s">
        <v>39</v>
      </c>
      <c r="D195" s="3" t="s">
        <v>44</v>
      </c>
      <c r="E195" s="3" t="s">
        <v>25</v>
      </c>
      <c r="F195" s="3" t="s">
        <v>25</v>
      </c>
      <c r="G195" s="3" t="s">
        <v>25</v>
      </c>
      <c r="H195" s="3" t="s">
        <v>37</v>
      </c>
      <c r="I195" s="6">
        <v>44743</v>
      </c>
      <c r="J195" s="4">
        <v>0</v>
      </c>
      <c r="K195" s="4">
        <v>0</v>
      </c>
      <c r="L195" s="4">
        <v>7.0000000000000001E-3</v>
      </c>
      <c r="M195" s="4">
        <v>6.7200000000000003E-3</v>
      </c>
      <c r="N195" s="4">
        <v>7.0000000000000001E-3</v>
      </c>
      <c r="O195" s="4">
        <v>6.7200000000000003E-3</v>
      </c>
      <c r="P195" s="4">
        <v>0</v>
      </c>
      <c r="Q195" s="3" t="s">
        <v>26</v>
      </c>
      <c r="R195" s="3">
        <v>0</v>
      </c>
      <c r="S195" s="3" t="s">
        <v>150</v>
      </c>
      <c r="T195" s="3" t="s">
        <v>307</v>
      </c>
      <c r="U195" s="3">
        <v>0</v>
      </c>
      <c r="V195" s="3">
        <v>35</v>
      </c>
      <c r="W195" s="3">
        <v>70</v>
      </c>
    </row>
    <row r="196" spans="1:23" ht="11.25" customHeight="1" x14ac:dyDescent="0.25">
      <c r="A196" s="3" t="s">
        <v>55</v>
      </c>
      <c r="B196" s="3" t="s">
        <v>35</v>
      </c>
      <c r="C196" s="3" t="s">
        <v>39</v>
      </c>
      <c r="D196" s="3" t="s">
        <v>44</v>
      </c>
      <c r="E196" s="3" t="s">
        <v>25</v>
      </c>
      <c r="F196" s="3" t="s">
        <v>25</v>
      </c>
      <c r="G196" s="3" t="s">
        <v>25</v>
      </c>
      <c r="H196" s="3" t="s">
        <v>37</v>
      </c>
      <c r="I196" s="6">
        <v>44774</v>
      </c>
      <c r="J196" s="4">
        <v>0</v>
      </c>
      <c r="K196" s="4">
        <v>0</v>
      </c>
      <c r="L196" s="4">
        <v>7.0000000000000001E-3</v>
      </c>
      <c r="M196" s="4">
        <v>6.7200000000000003E-3</v>
      </c>
      <c r="N196" s="4">
        <v>7.0000000000000001E-3</v>
      </c>
      <c r="O196" s="4">
        <v>6.7200000000000003E-3</v>
      </c>
      <c r="P196" s="4">
        <v>0</v>
      </c>
      <c r="Q196" s="3" t="s">
        <v>26</v>
      </c>
      <c r="R196" s="3">
        <v>0</v>
      </c>
      <c r="S196" s="3" t="s">
        <v>151</v>
      </c>
      <c r="T196" s="3" t="s">
        <v>308</v>
      </c>
      <c r="U196" s="3">
        <v>0</v>
      </c>
      <c r="V196" s="3">
        <v>35</v>
      </c>
      <c r="W196" s="3">
        <v>70</v>
      </c>
    </row>
    <row r="197" spans="1:23" ht="11.25" customHeight="1" x14ac:dyDescent="0.25">
      <c r="A197" s="3" t="s">
        <v>21</v>
      </c>
      <c r="B197" s="3" t="s">
        <v>35</v>
      </c>
      <c r="C197" s="3" t="s">
        <v>39</v>
      </c>
      <c r="D197" s="3" t="s">
        <v>49</v>
      </c>
      <c r="E197" s="3" t="s">
        <v>50</v>
      </c>
      <c r="F197" s="3" t="s">
        <v>25</v>
      </c>
      <c r="G197" s="3" t="s">
        <v>25</v>
      </c>
      <c r="H197" s="3" t="s">
        <v>38</v>
      </c>
      <c r="I197" s="6">
        <v>44501</v>
      </c>
      <c r="J197" s="4">
        <v>0</v>
      </c>
      <c r="K197" s="4">
        <v>0</v>
      </c>
      <c r="L197" s="4">
        <v>3.375</v>
      </c>
      <c r="M197" s="4">
        <v>3.1724999999999999</v>
      </c>
      <c r="N197" s="4">
        <v>3.375</v>
      </c>
      <c r="O197" s="4">
        <v>3.1724999999999999</v>
      </c>
      <c r="P197" s="4">
        <v>0</v>
      </c>
      <c r="Q197" s="3" t="s">
        <v>26</v>
      </c>
      <c r="R197" s="3">
        <v>0</v>
      </c>
      <c r="S197" s="3" t="s">
        <v>118</v>
      </c>
      <c r="T197" s="3" t="s">
        <v>287</v>
      </c>
      <c r="U197" s="3">
        <v>0</v>
      </c>
      <c r="V197" s="3">
        <v>50</v>
      </c>
      <c r="W197" s="3">
        <v>61</v>
      </c>
    </row>
    <row r="198" spans="1:23" ht="11.25" customHeight="1" x14ac:dyDescent="0.25">
      <c r="A198" s="3" t="s">
        <v>21</v>
      </c>
      <c r="B198" s="3" t="s">
        <v>35</v>
      </c>
      <c r="C198" s="3" t="s">
        <v>39</v>
      </c>
      <c r="D198" s="3" t="s">
        <v>49</v>
      </c>
      <c r="E198" s="3" t="s">
        <v>50</v>
      </c>
      <c r="F198" s="3" t="s">
        <v>25</v>
      </c>
      <c r="G198" s="3" t="s">
        <v>25</v>
      </c>
      <c r="H198" s="3" t="s">
        <v>38</v>
      </c>
      <c r="I198" s="6">
        <v>44531</v>
      </c>
      <c r="J198" s="4">
        <v>0</v>
      </c>
      <c r="K198" s="4">
        <v>0</v>
      </c>
      <c r="L198" s="4">
        <v>2.33</v>
      </c>
      <c r="M198" s="4">
        <v>2.1901999999999999</v>
      </c>
      <c r="N198" s="4">
        <v>2.33</v>
      </c>
      <c r="O198" s="4">
        <v>2.1901999999999999</v>
      </c>
      <c r="P198" s="4">
        <v>0</v>
      </c>
      <c r="Q198" s="3" t="s">
        <v>26</v>
      </c>
      <c r="R198" s="3">
        <v>0</v>
      </c>
      <c r="S198" s="3" t="s">
        <v>119</v>
      </c>
      <c r="T198" s="3" t="s">
        <v>288</v>
      </c>
      <c r="U198" s="3">
        <v>0</v>
      </c>
      <c r="V198" s="3">
        <v>50</v>
      </c>
      <c r="W198" s="3">
        <v>61</v>
      </c>
    </row>
    <row r="199" spans="1:23" ht="11.25" customHeight="1" x14ac:dyDescent="0.25">
      <c r="A199" s="3" t="s">
        <v>21</v>
      </c>
      <c r="B199" s="3" t="s">
        <v>35</v>
      </c>
      <c r="C199" s="3" t="s">
        <v>39</v>
      </c>
      <c r="D199" s="3" t="s">
        <v>49</v>
      </c>
      <c r="E199" s="3" t="s">
        <v>50</v>
      </c>
      <c r="F199" s="3" t="s">
        <v>25</v>
      </c>
      <c r="G199" s="3" t="s">
        <v>25</v>
      </c>
      <c r="H199" s="3" t="s">
        <v>38</v>
      </c>
      <c r="I199" s="6">
        <v>44562</v>
      </c>
      <c r="J199" s="4">
        <v>0</v>
      </c>
      <c r="K199" s="4">
        <v>0</v>
      </c>
      <c r="L199" s="4">
        <v>2.5019999999999998</v>
      </c>
      <c r="M199" s="4">
        <v>2.35188</v>
      </c>
      <c r="N199" s="4">
        <v>2.5019999999999998</v>
      </c>
      <c r="O199" s="4">
        <v>2.35188</v>
      </c>
      <c r="P199" s="4">
        <v>0</v>
      </c>
      <c r="Q199" s="3" t="s">
        <v>26</v>
      </c>
      <c r="R199" s="3">
        <v>0</v>
      </c>
      <c r="S199" s="3" t="s">
        <v>120</v>
      </c>
      <c r="T199" s="3" t="s">
        <v>289</v>
      </c>
      <c r="U199" s="3">
        <v>0</v>
      </c>
      <c r="V199" s="3">
        <v>50</v>
      </c>
      <c r="W199" s="3">
        <v>61</v>
      </c>
    </row>
    <row r="200" spans="1:23" ht="11.25" customHeight="1" x14ac:dyDescent="0.25">
      <c r="A200" s="3" t="s">
        <v>21</v>
      </c>
      <c r="B200" s="3" t="s">
        <v>35</v>
      </c>
      <c r="C200" s="3" t="s">
        <v>39</v>
      </c>
      <c r="D200" s="3" t="s">
        <v>49</v>
      </c>
      <c r="E200" s="3" t="s">
        <v>50</v>
      </c>
      <c r="F200" s="3" t="s">
        <v>25</v>
      </c>
      <c r="G200" s="3" t="s">
        <v>25</v>
      </c>
      <c r="H200" s="3" t="s">
        <v>38</v>
      </c>
      <c r="I200" s="6">
        <v>44593</v>
      </c>
      <c r="J200" s="4">
        <v>0</v>
      </c>
      <c r="K200" s="4">
        <v>0</v>
      </c>
      <c r="L200" s="4">
        <v>2.4159999999999999</v>
      </c>
      <c r="M200" s="4">
        <v>2.2710400000000002</v>
      </c>
      <c r="N200" s="4">
        <v>2.4159999999999999</v>
      </c>
      <c r="O200" s="4">
        <v>2.2710400000000002</v>
      </c>
      <c r="P200" s="4">
        <v>0</v>
      </c>
      <c r="Q200" s="3" t="s">
        <v>26</v>
      </c>
      <c r="R200" s="3">
        <v>0</v>
      </c>
      <c r="S200" s="3" t="s">
        <v>121</v>
      </c>
      <c r="T200" s="3" t="s">
        <v>290</v>
      </c>
      <c r="U200" s="3">
        <v>0</v>
      </c>
      <c r="V200" s="3">
        <v>50</v>
      </c>
      <c r="W200" s="3">
        <v>61</v>
      </c>
    </row>
    <row r="201" spans="1:23" ht="11.25" customHeight="1" x14ac:dyDescent="0.25">
      <c r="A201" s="3" t="s">
        <v>21</v>
      </c>
      <c r="B201" s="3" t="s">
        <v>35</v>
      </c>
      <c r="C201" s="3" t="s">
        <v>39</v>
      </c>
      <c r="D201" s="3" t="s">
        <v>49</v>
      </c>
      <c r="E201" s="3" t="s">
        <v>50</v>
      </c>
      <c r="F201" s="3" t="s">
        <v>25</v>
      </c>
      <c r="G201" s="3" t="s">
        <v>25</v>
      </c>
      <c r="H201" s="3" t="s">
        <v>38</v>
      </c>
      <c r="I201" s="6">
        <v>44621</v>
      </c>
      <c r="J201" s="4">
        <v>0</v>
      </c>
      <c r="K201" s="4">
        <v>0</v>
      </c>
      <c r="L201" s="4">
        <v>2.2210000000000001</v>
      </c>
      <c r="M201" s="4">
        <v>2.0877400000000002</v>
      </c>
      <c r="N201" s="4">
        <v>2.2210000000000001</v>
      </c>
      <c r="O201" s="4">
        <v>2.0877400000000002</v>
      </c>
      <c r="P201" s="4">
        <v>0</v>
      </c>
      <c r="Q201" s="3" t="s">
        <v>26</v>
      </c>
      <c r="R201" s="3">
        <v>0</v>
      </c>
      <c r="S201" s="3" t="s">
        <v>122</v>
      </c>
      <c r="T201" s="3" t="s">
        <v>291</v>
      </c>
      <c r="U201" s="3">
        <v>0</v>
      </c>
      <c r="V201" s="3">
        <v>50</v>
      </c>
      <c r="W201" s="3">
        <v>61</v>
      </c>
    </row>
    <row r="202" spans="1:23" ht="11.25" customHeight="1" x14ac:dyDescent="0.25">
      <c r="A202" s="3" t="s">
        <v>21</v>
      </c>
      <c r="B202" s="3" t="s">
        <v>35</v>
      </c>
      <c r="C202" s="3" t="s">
        <v>39</v>
      </c>
      <c r="D202" s="3" t="s">
        <v>49</v>
      </c>
      <c r="E202" s="3" t="s">
        <v>50</v>
      </c>
      <c r="F202" s="3" t="s">
        <v>25</v>
      </c>
      <c r="G202" s="3" t="s">
        <v>25</v>
      </c>
      <c r="H202" s="3" t="s">
        <v>38</v>
      </c>
      <c r="I202" s="6">
        <v>44652</v>
      </c>
      <c r="J202" s="4">
        <v>0</v>
      </c>
      <c r="K202" s="4">
        <v>0</v>
      </c>
      <c r="L202" s="4">
        <v>4.6870000000000003</v>
      </c>
      <c r="M202" s="4">
        <v>4.40578</v>
      </c>
      <c r="N202" s="4">
        <v>4.6870000000000003</v>
      </c>
      <c r="O202" s="4">
        <v>4.40578</v>
      </c>
      <c r="P202" s="4">
        <v>0</v>
      </c>
      <c r="Q202" s="3" t="s">
        <v>26</v>
      </c>
      <c r="R202" s="3">
        <v>0</v>
      </c>
      <c r="S202" s="3" t="s">
        <v>123</v>
      </c>
      <c r="T202" s="3" t="s">
        <v>292</v>
      </c>
      <c r="U202" s="3">
        <v>0</v>
      </c>
      <c r="V202" s="3">
        <v>50</v>
      </c>
      <c r="W202" s="3">
        <v>61</v>
      </c>
    </row>
    <row r="203" spans="1:23" ht="11.25" customHeight="1" x14ac:dyDescent="0.25">
      <c r="A203" s="3" t="s">
        <v>21</v>
      </c>
      <c r="B203" s="3" t="s">
        <v>35</v>
      </c>
      <c r="C203" s="3" t="s">
        <v>39</v>
      </c>
      <c r="D203" s="3" t="s">
        <v>49</v>
      </c>
      <c r="E203" s="3" t="s">
        <v>50</v>
      </c>
      <c r="F203" s="3" t="s">
        <v>25</v>
      </c>
      <c r="G203" s="3" t="s">
        <v>25</v>
      </c>
      <c r="H203" s="3" t="s">
        <v>38</v>
      </c>
      <c r="I203" s="6">
        <v>44682</v>
      </c>
      <c r="J203" s="4">
        <v>0</v>
      </c>
      <c r="K203" s="4">
        <v>0</v>
      </c>
      <c r="L203" s="4">
        <v>4.9539999999999997</v>
      </c>
      <c r="M203" s="4">
        <v>4.6567600000000002</v>
      </c>
      <c r="N203" s="4">
        <v>4.9539999999999997</v>
      </c>
      <c r="O203" s="4">
        <v>4.6567600000000002</v>
      </c>
      <c r="P203" s="4">
        <v>0</v>
      </c>
      <c r="Q203" s="3" t="s">
        <v>26</v>
      </c>
      <c r="R203" s="3">
        <v>0</v>
      </c>
      <c r="S203" s="3" t="s">
        <v>124</v>
      </c>
      <c r="T203" s="3" t="s">
        <v>293</v>
      </c>
      <c r="U203" s="3">
        <v>0</v>
      </c>
      <c r="V203" s="3">
        <v>50</v>
      </c>
      <c r="W203" s="3">
        <v>61</v>
      </c>
    </row>
    <row r="204" spans="1:23" ht="11.25" customHeight="1" x14ac:dyDescent="0.25">
      <c r="A204" s="3" t="s">
        <v>21</v>
      </c>
      <c r="B204" s="3" t="s">
        <v>35</v>
      </c>
      <c r="C204" s="3" t="s">
        <v>39</v>
      </c>
      <c r="D204" s="3" t="s">
        <v>49</v>
      </c>
      <c r="E204" s="3" t="s">
        <v>50</v>
      </c>
      <c r="F204" s="3" t="s">
        <v>25</v>
      </c>
      <c r="G204" s="3" t="s">
        <v>25</v>
      </c>
      <c r="H204" s="3" t="s">
        <v>38</v>
      </c>
      <c r="I204" s="6">
        <v>44713</v>
      </c>
      <c r="J204" s="4">
        <v>0</v>
      </c>
      <c r="K204" s="4">
        <v>0</v>
      </c>
      <c r="L204" s="4">
        <v>5.3840000000000003</v>
      </c>
      <c r="M204" s="4">
        <v>5.0609599999999997</v>
      </c>
      <c r="N204" s="4">
        <v>5.3840000000000003</v>
      </c>
      <c r="O204" s="4">
        <v>5.0609599999999997</v>
      </c>
      <c r="P204" s="4">
        <v>0</v>
      </c>
      <c r="Q204" s="3" t="s">
        <v>26</v>
      </c>
      <c r="R204" s="3">
        <v>0</v>
      </c>
      <c r="S204" s="3" t="s">
        <v>125</v>
      </c>
      <c r="T204" s="3" t="s">
        <v>294</v>
      </c>
      <c r="U204" s="3">
        <v>0</v>
      </c>
      <c r="V204" s="3">
        <v>50</v>
      </c>
      <c r="W204" s="3">
        <v>61</v>
      </c>
    </row>
    <row r="205" spans="1:23" ht="11.25" customHeight="1" x14ac:dyDescent="0.25">
      <c r="A205" s="3" t="s">
        <v>21</v>
      </c>
      <c r="B205" s="3" t="s">
        <v>35</v>
      </c>
      <c r="C205" s="3" t="s">
        <v>39</v>
      </c>
      <c r="D205" s="3" t="s">
        <v>49</v>
      </c>
      <c r="E205" s="3" t="s">
        <v>50</v>
      </c>
      <c r="F205" s="3" t="s">
        <v>25</v>
      </c>
      <c r="G205" s="3" t="s">
        <v>25</v>
      </c>
      <c r="H205" s="3" t="s">
        <v>38</v>
      </c>
      <c r="I205" s="6">
        <v>44743</v>
      </c>
      <c r="J205" s="4">
        <v>0</v>
      </c>
      <c r="K205" s="4">
        <v>0</v>
      </c>
      <c r="L205" s="4">
        <v>5.2229999999999999</v>
      </c>
      <c r="M205" s="4">
        <v>4.9096200000000003</v>
      </c>
      <c r="N205" s="4">
        <v>5.2229999999999999</v>
      </c>
      <c r="O205" s="4">
        <v>4.9096200000000003</v>
      </c>
      <c r="P205" s="4">
        <v>0</v>
      </c>
      <c r="Q205" s="3" t="s">
        <v>26</v>
      </c>
      <c r="R205" s="3">
        <v>0</v>
      </c>
      <c r="S205" s="3" t="s">
        <v>126</v>
      </c>
      <c r="T205" s="3" t="s">
        <v>295</v>
      </c>
      <c r="U205" s="3">
        <v>0</v>
      </c>
      <c r="V205" s="3">
        <v>50</v>
      </c>
      <c r="W205" s="3">
        <v>61</v>
      </c>
    </row>
    <row r="206" spans="1:23" ht="11.25" customHeight="1" x14ac:dyDescent="0.25">
      <c r="A206" s="3" t="s">
        <v>55</v>
      </c>
      <c r="B206" s="3" t="s">
        <v>35</v>
      </c>
      <c r="C206" s="3" t="s">
        <v>39</v>
      </c>
      <c r="D206" s="3" t="s">
        <v>49</v>
      </c>
      <c r="E206" s="3" t="s">
        <v>50</v>
      </c>
      <c r="F206" s="3" t="s">
        <v>25</v>
      </c>
      <c r="G206" s="3" t="s">
        <v>25</v>
      </c>
      <c r="H206" s="3" t="s">
        <v>38</v>
      </c>
      <c r="I206" s="6">
        <v>44774</v>
      </c>
      <c r="J206" s="4">
        <v>0</v>
      </c>
      <c r="K206" s="4">
        <v>0</v>
      </c>
      <c r="L206" s="4">
        <v>5.2229999999999999</v>
      </c>
      <c r="M206" s="4">
        <v>4.9096200000000003</v>
      </c>
      <c r="N206" s="4">
        <v>5.2229999999999999</v>
      </c>
      <c r="O206" s="4">
        <v>4.9096200000000003</v>
      </c>
      <c r="P206" s="4">
        <v>0</v>
      </c>
      <c r="Q206" s="3" t="s">
        <v>26</v>
      </c>
      <c r="R206" s="3">
        <v>0</v>
      </c>
      <c r="S206" s="3" t="s">
        <v>127</v>
      </c>
      <c r="T206" s="3" t="s">
        <v>296</v>
      </c>
      <c r="U206" s="3">
        <v>0</v>
      </c>
      <c r="V206" s="3">
        <v>50</v>
      </c>
      <c r="W206" s="3">
        <v>61</v>
      </c>
    </row>
    <row r="207" spans="1:23" ht="11.25" customHeight="1" x14ac:dyDescent="0.25">
      <c r="A207" s="3" t="s">
        <v>21</v>
      </c>
      <c r="B207" s="3" t="s">
        <v>35</v>
      </c>
      <c r="C207" s="3" t="s">
        <v>39</v>
      </c>
      <c r="D207" s="3" t="s">
        <v>49</v>
      </c>
      <c r="E207" s="3" t="s">
        <v>50</v>
      </c>
      <c r="F207" s="3" t="s">
        <v>25</v>
      </c>
      <c r="G207" s="3" t="s">
        <v>25</v>
      </c>
      <c r="H207" s="3" t="s">
        <v>25</v>
      </c>
      <c r="I207" s="6">
        <v>44501</v>
      </c>
      <c r="J207" s="4">
        <v>30</v>
      </c>
      <c r="K207" s="4">
        <v>28.2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3" t="s">
        <v>26</v>
      </c>
      <c r="R207" s="3">
        <v>0</v>
      </c>
      <c r="S207" s="3" t="s">
        <v>130</v>
      </c>
      <c r="U207" s="3">
        <v>46</v>
      </c>
      <c r="V207" s="3">
        <v>0</v>
      </c>
      <c r="W207" s="3">
        <v>0</v>
      </c>
    </row>
    <row r="208" spans="1:23" ht="11.25" customHeight="1" x14ac:dyDescent="0.25">
      <c r="A208" s="3" t="s">
        <v>21</v>
      </c>
      <c r="B208" s="3" t="s">
        <v>35</v>
      </c>
      <c r="C208" s="3" t="s">
        <v>39</v>
      </c>
      <c r="D208" s="3" t="s">
        <v>49</v>
      </c>
      <c r="E208" s="3" t="s">
        <v>50</v>
      </c>
      <c r="F208" s="3" t="s">
        <v>25</v>
      </c>
      <c r="G208" s="3" t="s">
        <v>25</v>
      </c>
      <c r="H208" s="3" t="s">
        <v>25</v>
      </c>
      <c r="I208" s="6">
        <v>44531</v>
      </c>
      <c r="J208" s="4">
        <v>30</v>
      </c>
      <c r="K208" s="4">
        <v>28.2</v>
      </c>
      <c r="L208" s="4">
        <v>0</v>
      </c>
      <c r="M208" s="4">
        <v>0</v>
      </c>
      <c r="N208" s="4">
        <v>0</v>
      </c>
      <c r="O208" s="4">
        <v>0</v>
      </c>
      <c r="P208" s="4">
        <v>1</v>
      </c>
      <c r="Q208" s="3" t="s">
        <v>26</v>
      </c>
      <c r="R208" s="3">
        <v>0</v>
      </c>
      <c r="S208" s="3" t="s">
        <v>131</v>
      </c>
      <c r="U208" s="3">
        <v>46</v>
      </c>
      <c r="V208" s="3">
        <v>0</v>
      </c>
      <c r="W208" s="3">
        <v>0</v>
      </c>
    </row>
    <row r="209" spans="1:23" ht="11.25" customHeight="1" x14ac:dyDescent="0.25">
      <c r="A209" s="3" t="s">
        <v>21</v>
      </c>
      <c r="B209" s="3" t="s">
        <v>35</v>
      </c>
      <c r="C209" s="3" t="s">
        <v>39</v>
      </c>
      <c r="D209" s="3" t="s">
        <v>49</v>
      </c>
      <c r="E209" s="3" t="s">
        <v>50</v>
      </c>
      <c r="F209" s="3" t="s">
        <v>25</v>
      </c>
      <c r="G209" s="3" t="s">
        <v>25</v>
      </c>
      <c r="H209" s="3" t="s">
        <v>25</v>
      </c>
      <c r="I209" s="6">
        <v>44562</v>
      </c>
      <c r="J209" s="4">
        <v>78</v>
      </c>
      <c r="K209" s="4">
        <v>73.319999999999993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3" t="s">
        <v>26</v>
      </c>
      <c r="R209" s="3">
        <v>0</v>
      </c>
      <c r="S209" s="3" t="s">
        <v>132</v>
      </c>
      <c r="U209" s="3">
        <v>46</v>
      </c>
      <c r="V209" s="3">
        <v>0</v>
      </c>
      <c r="W209" s="3">
        <v>0</v>
      </c>
    </row>
    <row r="210" spans="1:23" ht="11.25" customHeight="1" x14ac:dyDescent="0.25">
      <c r="A210" s="3" t="s">
        <v>21</v>
      </c>
      <c r="B210" s="3" t="s">
        <v>35</v>
      </c>
      <c r="C210" s="3" t="s">
        <v>39</v>
      </c>
      <c r="D210" s="3" t="s">
        <v>49</v>
      </c>
      <c r="E210" s="3" t="s">
        <v>50</v>
      </c>
      <c r="F210" s="3" t="s">
        <v>25</v>
      </c>
      <c r="G210" s="3" t="s">
        <v>25</v>
      </c>
      <c r="H210" s="3" t="s">
        <v>25</v>
      </c>
      <c r="I210" s="6">
        <v>44593</v>
      </c>
      <c r="J210" s="4">
        <v>78</v>
      </c>
      <c r="K210" s="4">
        <v>73.319999999999993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3" t="s">
        <v>26</v>
      </c>
      <c r="R210" s="3">
        <v>0</v>
      </c>
      <c r="S210" s="3" t="s">
        <v>133</v>
      </c>
      <c r="U210" s="3">
        <v>46</v>
      </c>
      <c r="V210" s="3">
        <v>0</v>
      </c>
      <c r="W210" s="3">
        <v>0</v>
      </c>
    </row>
    <row r="211" spans="1:23" ht="11.25" customHeight="1" x14ac:dyDescent="0.25">
      <c r="A211" s="3" t="s">
        <v>21</v>
      </c>
      <c r="B211" s="3" t="s">
        <v>35</v>
      </c>
      <c r="C211" s="3" t="s">
        <v>39</v>
      </c>
      <c r="D211" s="3" t="s">
        <v>49</v>
      </c>
      <c r="E211" s="3" t="s">
        <v>50</v>
      </c>
      <c r="F211" s="3" t="s">
        <v>25</v>
      </c>
      <c r="G211" s="3" t="s">
        <v>25</v>
      </c>
      <c r="H211" s="3" t="s">
        <v>25</v>
      </c>
      <c r="I211" s="6">
        <v>44621</v>
      </c>
      <c r="J211" s="4">
        <v>78</v>
      </c>
      <c r="K211" s="4">
        <v>73.319999999999993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3" t="s">
        <v>26</v>
      </c>
      <c r="R211" s="3">
        <v>0</v>
      </c>
      <c r="S211" s="3" t="s">
        <v>134</v>
      </c>
      <c r="U211" s="3">
        <v>46</v>
      </c>
      <c r="V211" s="3">
        <v>0</v>
      </c>
      <c r="W211" s="3">
        <v>0</v>
      </c>
    </row>
    <row r="212" spans="1:23" ht="11.25" customHeight="1" x14ac:dyDescent="0.25">
      <c r="A212" s="3" t="s">
        <v>21</v>
      </c>
      <c r="B212" s="3" t="s">
        <v>35</v>
      </c>
      <c r="C212" s="3" t="s">
        <v>39</v>
      </c>
      <c r="D212" s="3" t="s">
        <v>49</v>
      </c>
      <c r="E212" s="3" t="s">
        <v>50</v>
      </c>
      <c r="F212" s="3" t="s">
        <v>25</v>
      </c>
      <c r="G212" s="3" t="s">
        <v>25</v>
      </c>
      <c r="H212" s="3" t="s">
        <v>25</v>
      </c>
      <c r="I212" s="6">
        <v>44652</v>
      </c>
      <c r="J212" s="4">
        <v>78</v>
      </c>
      <c r="K212" s="4">
        <v>73.319999999999993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3" t="s">
        <v>26</v>
      </c>
      <c r="R212" s="3">
        <v>0</v>
      </c>
      <c r="S212" s="3" t="s">
        <v>135</v>
      </c>
      <c r="U212" s="3">
        <v>46</v>
      </c>
      <c r="V212" s="3">
        <v>0</v>
      </c>
      <c r="W212" s="3">
        <v>0</v>
      </c>
    </row>
    <row r="213" spans="1:23" ht="11.25" customHeight="1" x14ac:dyDescent="0.25">
      <c r="A213" s="3" t="s">
        <v>21</v>
      </c>
      <c r="B213" s="3" t="s">
        <v>35</v>
      </c>
      <c r="C213" s="3" t="s">
        <v>39</v>
      </c>
      <c r="D213" s="3" t="s">
        <v>49</v>
      </c>
      <c r="E213" s="3" t="s">
        <v>50</v>
      </c>
      <c r="F213" s="3" t="s">
        <v>25</v>
      </c>
      <c r="G213" s="3" t="s">
        <v>25</v>
      </c>
      <c r="H213" s="3" t="s">
        <v>25</v>
      </c>
      <c r="I213" s="6">
        <v>44682</v>
      </c>
      <c r="J213" s="4">
        <v>78</v>
      </c>
      <c r="K213" s="4">
        <v>73.319999999999993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3" t="s">
        <v>26</v>
      </c>
      <c r="R213" s="3">
        <v>0</v>
      </c>
      <c r="S213" s="3" t="s">
        <v>136</v>
      </c>
      <c r="U213" s="3">
        <v>46</v>
      </c>
      <c r="V213" s="3">
        <v>0</v>
      </c>
      <c r="W213" s="3">
        <v>0</v>
      </c>
    </row>
    <row r="214" spans="1:23" ht="11.25" customHeight="1" x14ac:dyDescent="0.25">
      <c r="A214" s="3" t="s">
        <v>21</v>
      </c>
      <c r="B214" s="3" t="s">
        <v>35</v>
      </c>
      <c r="C214" s="3" t="s">
        <v>39</v>
      </c>
      <c r="D214" s="3" t="s">
        <v>49</v>
      </c>
      <c r="E214" s="3" t="s">
        <v>50</v>
      </c>
      <c r="F214" s="3" t="s">
        <v>25</v>
      </c>
      <c r="G214" s="3" t="s">
        <v>25</v>
      </c>
      <c r="H214" s="3" t="s">
        <v>25</v>
      </c>
      <c r="I214" s="6">
        <v>44713</v>
      </c>
      <c r="J214" s="4">
        <v>78</v>
      </c>
      <c r="K214" s="4">
        <v>73.319999999999993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3" t="s">
        <v>26</v>
      </c>
      <c r="R214" s="3">
        <v>0</v>
      </c>
      <c r="S214" s="3" t="s">
        <v>137</v>
      </c>
      <c r="U214" s="3">
        <v>46</v>
      </c>
      <c r="V214" s="3">
        <v>0</v>
      </c>
      <c r="W214" s="3">
        <v>0</v>
      </c>
    </row>
    <row r="215" spans="1:23" ht="11.25" customHeight="1" x14ac:dyDescent="0.25">
      <c r="A215" s="3" t="s">
        <v>21</v>
      </c>
      <c r="B215" s="3" t="s">
        <v>35</v>
      </c>
      <c r="C215" s="3" t="s">
        <v>39</v>
      </c>
      <c r="D215" s="3" t="s">
        <v>49</v>
      </c>
      <c r="E215" s="3" t="s">
        <v>50</v>
      </c>
      <c r="F215" s="3" t="s">
        <v>25</v>
      </c>
      <c r="G215" s="3" t="s">
        <v>25</v>
      </c>
      <c r="H215" s="3" t="s">
        <v>25</v>
      </c>
      <c r="I215" s="6">
        <v>44743</v>
      </c>
      <c r="J215" s="4">
        <v>78</v>
      </c>
      <c r="K215" s="4">
        <v>73.319999999999993</v>
      </c>
      <c r="L215" s="4">
        <v>0</v>
      </c>
      <c r="M215" s="4">
        <v>0</v>
      </c>
      <c r="N215" s="4">
        <v>0</v>
      </c>
      <c r="O215" s="4">
        <v>0</v>
      </c>
      <c r="P215" s="4">
        <v>1</v>
      </c>
      <c r="Q215" s="3" t="s">
        <v>26</v>
      </c>
      <c r="R215" s="3">
        <v>0</v>
      </c>
      <c r="S215" s="3" t="s">
        <v>138</v>
      </c>
      <c r="U215" s="3">
        <v>46</v>
      </c>
      <c r="V215" s="3">
        <v>0</v>
      </c>
      <c r="W215" s="3">
        <v>0</v>
      </c>
    </row>
    <row r="216" spans="1:23" ht="11.25" customHeight="1" x14ac:dyDescent="0.25">
      <c r="A216" s="3" t="s">
        <v>55</v>
      </c>
      <c r="B216" s="3" t="s">
        <v>35</v>
      </c>
      <c r="C216" s="3" t="s">
        <v>39</v>
      </c>
      <c r="D216" s="3" t="s">
        <v>49</v>
      </c>
      <c r="E216" s="3" t="s">
        <v>50</v>
      </c>
      <c r="F216" s="3" t="s">
        <v>25</v>
      </c>
      <c r="G216" s="3" t="s">
        <v>25</v>
      </c>
      <c r="H216" s="3" t="s">
        <v>25</v>
      </c>
      <c r="I216" s="6">
        <v>44774</v>
      </c>
      <c r="J216" s="4">
        <v>78</v>
      </c>
      <c r="K216" s="4">
        <v>73.319999999999993</v>
      </c>
      <c r="L216" s="4">
        <v>0</v>
      </c>
      <c r="M216" s="4">
        <v>0</v>
      </c>
      <c r="N216" s="4">
        <v>0</v>
      </c>
      <c r="O216" s="4">
        <v>0</v>
      </c>
      <c r="P216" s="4">
        <v>1</v>
      </c>
      <c r="Q216" s="3" t="s">
        <v>26</v>
      </c>
      <c r="R216" s="3">
        <v>0</v>
      </c>
      <c r="S216" s="3" t="s">
        <v>139</v>
      </c>
      <c r="U216" s="3">
        <v>46</v>
      </c>
      <c r="V216" s="3">
        <v>0</v>
      </c>
      <c r="W216" s="3">
        <v>0</v>
      </c>
    </row>
    <row r="217" spans="1:23" ht="11.25" customHeight="1" x14ac:dyDescent="0.25">
      <c r="A217" s="3" t="s">
        <v>21</v>
      </c>
      <c r="B217" s="3" t="s">
        <v>35</v>
      </c>
      <c r="C217" s="3" t="s">
        <v>39</v>
      </c>
      <c r="D217" s="3" t="s">
        <v>49</v>
      </c>
      <c r="E217" s="3" t="s">
        <v>50</v>
      </c>
      <c r="F217" s="3" t="s">
        <v>25</v>
      </c>
      <c r="G217" s="3" t="s">
        <v>25</v>
      </c>
      <c r="H217" s="3" t="s">
        <v>37</v>
      </c>
      <c r="I217" s="6">
        <v>44501</v>
      </c>
      <c r="J217" s="4">
        <v>0</v>
      </c>
      <c r="K217" s="4">
        <v>0</v>
      </c>
      <c r="L217" s="4">
        <v>0.57299999999999995</v>
      </c>
      <c r="M217" s="4">
        <v>0.53861999999999999</v>
      </c>
      <c r="N217" s="4">
        <v>0.57299999999999995</v>
      </c>
      <c r="O217" s="4">
        <v>0.53861999999999999</v>
      </c>
      <c r="P217" s="4">
        <v>0</v>
      </c>
      <c r="Q217" s="3" t="s">
        <v>26</v>
      </c>
      <c r="R217" s="3">
        <v>0</v>
      </c>
      <c r="S217" s="3" t="s">
        <v>142</v>
      </c>
      <c r="T217" s="3" t="s">
        <v>299</v>
      </c>
      <c r="U217" s="3">
        <v>0</v>
      </c>
      <c r="V217" s="3">
        <v>35</v>
      </c>
      <c r="W217" s="3">
        <v>70</v>
      </c>
    </row>
    <row r="218" spans="1:23" ht="11.25" customHeight="1" x14ac:dyDescent="0.25">
      <c r="A218" s="3" t="s">
        <v>21</v>
      </c>
      <c r="B218" s="3" t="s">
        <v>35</v>
      </c>
      <c r="C218" s="3" t="s">
        <v>39</v>
      </c>
      <c r="D218" s="3" t="s">
        <v>49</v>
      </c>
      <c r="E218" s="3" t="s">
        <v>50</v>
      </c>
      <c r="F218" s="3" t="s">
        <v>25</v>
      </c>
      <c r="G218" s="3" t="s">
        <v>25</v>
      </c>
      <c r="H218" s="3" t="s">
        <v>37</v>
      </c>
      <c r="I218" s="6">
        <v>44531</v>
      </c>
      <c r="J218" s="4">
        <v>0</v>
      </c>
      <c r="K218" s="4">
        <v>0</v>
      </c>
      <c r="L218" s="4">
        <v>0.40400000000000003</v>
      </c>
      <c r="M218" s="4">
        <v>0.37975999999999999</v>
      </c>
      <c r="N218" s="4">
        <v>0.40400000000000003</v>
      </c>
      <c r="O218" s="4">
        <v>0.37975999999999999</v>
      </c>
      <c r="P218" s="4">
        <v>0</v>
      </c>
      <c r="Q218" s="3" t="s">
        <v>26</v>
      </c>
      <c r="R218" s="3">
        <v>0</v>
      </c>
      <c r="S218" s="3" t="s">
        <v>143</v>
      </c>
      <c r="T218" s="3" t="s">
        <v>300</v>
      </c>
      <c r="U218" s="3">
        <v>0</v>
      </c>
      <c r="V218" s="3">
        <v>35</v>
      </c>
      <c r="W218" s="3">
        <v>70</v>
      </c>
    </row>
    <row r="219" spans="1:23" ht="11.25" customHeight="1" x14ac:dyDescent="0.25">
      <c r="A219" s="3" t="s">
        <v>21</v>
      </c>
      <c r="B219" s="3" t="s">
        <v>35</v>
      </c>
      <c r="C219" s="3" t="s">
        <v>39</v>
      </c>
      <c r="D219" s="3" t="s">
        <v>49</v>
      </c>
      <c r="E219" s="3" t="s">
        <v>50</v>
      </c>
      <c r="F219" s="3" t="s">
        <v>25</v>
      </c>
      <c r="G219" s="3" t="s">
        <v>25</v>
      </c>
      <c r="H219" s="3" t="s">
        <v>37</v>
      </c>
      <c r="I219" s="6">
        <v>44562</v>
      </c>
      <c r="J219" s="4">
        <v>0</v>
      </c>
      <c r="K219" s="4">
        <v>0</v>
      </c>
      <c r="L219" s="4">
        <v>0.48099999999999998</v>
      </c>
      <c r="M219" s="4">
        <v>0.45213999999999999</v>
      </c>
      <c r="N219" s="4">
        <v>0.48099999999999998</v>
      </c>
      <c r="O219" s="4">
        <v>0.45213999999999999</v>
      </c>
      <c r="P219" s="4">
        <v>0</v>
      </c>
      <c r="Q219" s="3" t="s">
        <v>26</v>
      </c>
      <c r="R219" s="3">
        <v>0</v>
      </c>
      <c r="S219" s="3" t="s">
        <v>144</v>
      </c>
      <c r="T219" s="3" t="s">
        <v>301</v>
      </c>
      <c r="U219" s="3">
        <v>0</v>
      </c>
      <c r="V219" s="3">
        <v>35</v>
      </c>
      <c r="W219" s="3">
        <v>70</v>
      </c>
    </row>
    <row r="220" spans="1:23" ht="11.25" customHeight="1" x14ac:dyDescent="0.25">
      <c r="A220" s="3" t="s">
        <v>21</v>
      </c>
      <c r="B220" s="3" t="s">
        <v>35</v>
      </c>
      <c r="C220" s="3" t="s">
        <v>39</v>
      </c>
      <c r="D220" s="3" t="s">
        <v>49</v>
      </c>
      <c r="E220" s="3" t="s">
        <v>50</v>
      </c>
      <c r="F220" s="3" t="s">
        <v>25</v>
      </c>
      <c r="G220" s="3" t="s">
        <v>25</v>
      </c>
      <c r="H220" s="3" t="s">
        <v>37</v>
      </c>
      <c r="I220" s="6">
        <v>44593</v>
      </c>
      <c r="J220" s="4">
        <v>0</v>
      </c>
      <c r="K220" s="4">
        <v>0</v>
      </c>
      <c r="L220" s="4">
        <v>0.42699999999999999</v>
      </c>
      <c r="M220" s="4">
        <v>0.40138000000000001</v>
      </c>
      <c r="N220" s="4">
        <v>0.42699999999999999</v>
      </c>
      <c r="O220" s="4">
        <v>0.40138000000000001</v>
      </c>
      <c r="P220" s="4">
        <v>0</v>
      </c>
      <c r="Q220" s="3" t="s">
        <v>26</v>
      </c>
      <c r="R220" s="3">
        <v>0</v>
      </c>
      <c r="S220" s="3" t="s">
        <v>145</v>
      </c>
      <c r="T220" s="3" t="s">
        <v>302</v>
      </c>
      <c r="U220" s="3">
        <v>0</v>
      </c>
      <c r="V220" s="3">
        <v>35</v>
      </c>
      <c r="W220" s="3">
        <v>70</v>
      </c>
    </row>
    <row r="221" spans="1:23" ht="11.25" customHeight="1" x14ac:dyDescent="0.25">
      <c r="A221" s="3" t="s">
        <v>21</v>
      </c>
      <c r="B221" s="3" t="s">
        <v>35</v>
      </c>
      <c r="C221" s="3" t="s">
        <v>39</v>
      </c>
      <c r="D221" s="3" t="s">
        <v>49</v>
      </c>
      <c r="E221" s="3" t="s">
        <v>50</v>
      </c>
      <c r="F221" s="3" t="s">
        <v>25</v>
      </c>
      <c r="G221" s="3" t="s">
        <v>25</v>
      </c>
      <c r="H221" s="3" t="s">
        <v>37</v>
      </c>
      <c r="I221" s="6">
        <v>44621</v>
      </c>
      <c r="J221" s="4">
        <v>0</v>
      </c>
      <c r="K221" s="4">
        <v>0</v>
      </c>
      <c r="L221" s="4">
        <v>0.40400000000000003</v>
      </c>
      <c r="M221" s="4">
        <v>0.37975999999999999</v>
      </c>
      <c r="N221" s="4">
        <v>0.40400000000000003</v>
      </c>
      <c r="O221" s="4">
        <v>0.37975999999999999</v>
      </c>
      <c r="P221" s="4">
        <v>0</v>
      </c>
      <c r="Q221" s="3" t="s">
        <v>26</v>
      </c>
      <c r="R221" s="3">
        <v>0</v>
      </c>
      <c r="S221" s="3" t="s">
        <v>146</v>
      </c>
      <c r="T221" s="3" t="s">
        <v>303</v>
      </c>
      <c r="U221" s="3">
        <v>0</v>
      </c>
      <c r="V221" s="3">
        <v>35</v>
      </c>
      <c r="W221" s="3">
        <v>70</v>
      </c>
    </row>
    <row r="222" spans="1:23" ht="11.25" customHeight="1" x14ac:dyDescent="0.25">
      <c r="A222" s="3" t="s">
        <v>21</v>
      </c>
      <c r="B222" s="3" t="s">
        <v>35</v>
      </c>
      <c r="C222" s="3" t="s">
        <v>39</v>
      </c>
      <c r="D222" s="3" t="s">
        <v>49</v>
      </c>
      <c r="E222" s="3" t="s">
        <v>50</v>
      </c>
      <c r="F222" s="3" t="s">
        <v>25</v>
      </c>
      <c r="G222" s="3" t="s">
        <v>25</v>
      </c>
      <c r="H222" s="3" t="s">
        <v>37</v>
      </c>
      <c r="I222" s="6">
        <v>44652</v>
      </c>
      <c r="J222" s="4">
        <v>0</v>
      </c>
      <c r="K222" s="4">
        <v>0</v>
      </c>
      <c r="L222" s="4">
        <v>0.68500000000000005</v>
      </c>
      <c r="M222" s="4">
        <v>0.64390000000000003</v>
      </c>
      <c r="N222" s="4">
        <v>0.68500000000000005</v>
      </c>
      <c r="O222" s="4">
        <v>0.64390000000000003</v>
      </c>
      <c r="P222" s="4">
        <v>0</v>
      </c>
      <c r="Q222" s="3" t="s">
        <v>26</v>
      </c>
      <c r="R222" s="3">
        <v>0</v>
      </c>
      <c r="S222" s="3" t="s">
        <v>147</v>
      </c>
      <c r="T222" s="3" t="s">
        <v>304</v>
      </c>
      <c r="U222" s="3">
        <v>0</v>
      </c>
      <c r="V222" s="3">
        <v>35</v>
      </c>
      <c r="W222" s="3">
        <v>70</v>
      </c>
    </row>
    <row r="223" spans="1:23" ht="11.25" customHeight="1" x14ac:dyDescent="0.25">
      <c r="A223" s="3" t="s">
        <v>21</v>
      </c>
      <c r="B223" s="3" t="s">
        <v>35</v>
      </c>
      <c r="C223" s="3" t="s">
        <v>39</v>
      </c>
      <c r="D223" s="3" t="s">
        <v>49</v>
      </c>
      <c r="E223" s="3" t="s">
        <v>50</v>
      </c>
      <c r="F223" s="3" t="s">
        <v>25</v>
      </c>
      <c r="G223" s="3" t="s">
        <v>25</v>
      </c>
      <c r="H223" s="3" t="s">
        <v>37</v>
      </c>
      <c r="I223" s="6">
        <v>44682</v>
      </c>
      <c r="J223" s="4">
        <v>0</v>
      </c>
      <c r="K223" s="4">
        <v>0</v>
      </c>
      <c r="L223" s="4">
        <v>0.6</v>
      </c>
      <c r="M223" s="4">
        <v>0.56399999999999995</v>
      </c>
      <c r="N223" s="4">
        <v>0.6</v>
      </c>
      <c r="O223" s="4">
        <v>0.56399999999999995</v>
      </c>
      <c r="P223" s="4">
        <v>0</v>
      </c>
      <c r="Q223" s="3" t="s">
        <v>26</v>
      </c>
      <c r="R223" s="3">
        <v>0</v>
      </c>
      <c r="S223" s="3" t="s">
        <v>148</v>
      </c>
      <c r="T223" s="3" t="s">
        <v>305</v>
      </c>
      <c r="U223" s="3">
        <v>0</v>
      </c>
      <c r="V223" s="3">
        <v>35</v>
      </c>
      <c r="W223" s="3">
        <v>70</v>
      </c>
    </row>
    <row r="224" spans="1:23" ht="11.25" customHeight="1" x14ac:dyDescent="0.25">
      <c r="A224" s="3" t="s">
        <v>21</v>
      </c>
      <c r="B224" s="3" t="s">
        <v>35</v>
      </c>
      <c r="C224" s="3" t="s">
        <v>39</v>
      </c>
      <c r="D224" s="3" t="s">
        <v>49</v>
      </c>
      <c r="E224" s="3" t="s">
        <v>50</v>
      </c>
      <c r="F224" s="3" t="s">
        <v>25</v>
      </c>
      <c r="G224" s="3" t="s">
        <v>25</v>
      </c>
      <c r="H224" s="3" t="s">
        <v>37</v>
      </c>
      <c r="I224" s="6">
        <v>44713</v>
      </c>
      <c r="J224" s="4">
        <v>0</v>
      </c>
      <c r="K224" s="4">
        <v>0</v>
      </c>
      <c r="L224" s="4">
        <v>0.69699999999999995</v>
      </c>
      <c r="M224" s="4">
        <v>0.65517999999999998</v>
      </c>
      <c r="N224" s="4">
        <v>0.69699999999999995</v>
      </c>
      <c r="O224" s="4">
        <v>0.65517999999999998</v>
      </c>
      <c r="P224" s="4">
        <v>0</v>
      </c>
      <c r="Q224" s="3" t="s">
        <v>26</v>
      </c>
      <c r="R224" s="3">
        <v>0</v>
      </c>
      <c r="S224" s="3" t="s">
        <v>149</v>
      </c>
      <c r="T224" s="3" t="s">
        <v>306</v>
      </c>
      <c r="U224" s="3">
        <v>0</v>
      </c>
      <c r="V224" s="3">
        <v>35</v>
      </c>
      <c r="W224" s="3">
        <v>70</v>
      </c>
    </row>
    <row r="225" spans="1:23" ht="11.25" customHeight="1" x14ac:dyDescent="0.25">
      <c r="A225" s="3" t="s">
        <v>21</v>
      </c>
      <c r="B225" s="3" t="s">
        <v>35</v>
      </c>
      <c r="C225" s="3" t="s">
        <v>39</v>
      </c>
      <c r="D225" s="3" t="s">
        <v>49</v>
      </c>
      <c r="E225" s="3" t="s">
        <v>50</v>
      </c>
      <c r="F225" s="3" t="s">
        <v>25</v>
      </c>
      <c r="G225" s="3" t="s">
        <v>25</v>
      </c>
      <c r="H225" s="3" t="s">
        <v>37</v>
      </c>
      <c r="I225" s="6">
        <v>44743</v>
      </c>
      <c r="J225" s="4">
        <v>0</v>
      </c>
      <c r="K225" s="4">
        <v>0</v>
      </c>
      <c r="L225" s="4">
        <v>0.65900000000000003</v>
      </c>
      <c r="M225" s="4">
        <v>0.61946000000000001</v>
      </c>
      <c r="N225" s="4">
        <v>0.65900000000000003</v>
      </c>
      <c r="O225" s="4">
        <v>0.61946000000000001</v>
      </c>
      <c r="P225" s="4">
        <v>0</v>
      </c>
      <c r="Q225" s="3" t="s">
        <v>26</v>
      </c>
      <c r="R225" s="3">
        <v>0</v>
      </c>
      <c r="S225" s="3" t="s">
        <v>150</v>
      </c>
      <c r="T225" s="3" t="s">
        <v>307</v>
      </c>
      <c r="U225" s="3">
        <v>0</v>
      </c>
      <c r="V225" s="3">
        <v>35</v>
      </c>
      <c r="W225" s="3">
        <v>70</v>
      </c>
    </row>
    <row r="226" spans="1:23" ht="11.25" customHeight="1" x14ac:dyDescent="0.25">
      <c r="A226" s="3" t="s">
        <v>55</v>
      </c>
      <c r="B226" s="3" t="s">
        <v>35</v>
      </c>
      <c r="C226" s="3" t="s">
        <v>39</v>
      </c>
      <c r="D226" s="3" t="s">
        <v>49</v>
      </c>
      <c r="E226" s="3" t="s">
        <v>50</v>
      </c>
      <c r="F226" s="3" t="s">
        <v>25</v>
      </c>
      <c r="G226" s="3" t="s">
        <v>25</v>
      </c>
      <c r="H226" s="3" t="s">
        <v>37</v>
      </c>
      <c r="I226" s="6">
        <v>44774</v>
      </c>
      <c r="J226" s="4">
        <v>0</v>
      </c>
      <c r="K226" s="4">
        <v>0</v>
      </c>
      <c r="L226" s="4">
        <v>0.65900000000000003</v>
      </c>
      <c r="M226" s="4">
        <v>0.61946000000000001</v>
      </c>
      <c r="N226" s="4">
        <v>0.65900000000000003</v>
      </c>
      <c r="O226" s="4">
        <v>0.61946000000000001</v>
      </c>
      <c r="P226" s="4">
        <v>0</v>
      </c>
      <c r="Q226" s="3" t="s">
        <v>26</v>
      </c>
      <c r="R226" s="3">
        <v>0</v>
      </c>
      <c r="S226" s="3" t="s">
        <v>151</v>
      </c>
      <c r="T226" s="3" t="s">
        <v>308</v>
      </c>
      <c r="U226" s="3">
        <v>0</v>
      </c>
      <c r="V226" s="3">
        <v>35</v>
      </c>
      <c r="W226" s="3">
        <v>70</v>
      </c>
    </row>
    <row r="227" spans="1:2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44440</v>
      </c>
      <c r="J227" s="4">
        <v>0</v>
      </c>
      <c r="K227" s="4">
        <v>0</v>
      </c>
      <c r="L227" s="4">
        <v>2353.8519999999999</v>
      </c>
      <c r="M227" s="4">
        <v>2353.8519999999999</v>
      </c>
      <c r="N227" s="4">
        <v>2353.8519999999999</v>
      </c>
      <c r="O227" s="4">
        <v>2353.8519999999999</v>
      </c>
      <c r="P227" s="4">
        <v>11922</v>
      </c>
      <c r="Q227" s="3" t="s">
        <v>26</v>
      </c>
      <c r="R227" s="3">
        <v>0</v>
      </c>
      <c r="S227" s="3" t="s">
        <v>152</v>
      </c>
      <c r="T227" s="3" t="s">
        <v>313</v>
      </c>
      <c r="U227" s="3">
        <v>0</v>
      </c>
      <c r="V227" s="3">
        <v>34</v>
      </c>
      <c r="W227" s="3">
        <v>83</v>
      </c>
    </row>
    <row r="228" spans="1:23" ht="11.25" customHeight="1" x14ac:dyDescent="0.25">
      <c r="A228" s="3" t="s">
        <v>27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44440</v>
      </c>
      <c r="J228" s="4">
        <v>0</v>
      </c>
      <c r="K228" s="4">
        <v>0</v>
      </c>
      <c r="L228" s="4">
        <v>-3.2450000000000001</v>
      </c>
      <c r="M228" s="4">
        <v>-3.2450000000000001</v>
      </c>
      <c r="N228" s="4">
        <v>-3.2450000000000001</v>
      </c>
      <c r="O228" s="4">
        <v>-3.2450000000000001</v>
      </c>
      <c r="P228" s="4">
        <v>0</v>
      </c>
      <c r="Q228" s="3" t="s">
        <v>26</v>
      </c>
      <c r="R228" s="3">
        <v>0</v>
      </c>
      <c r="S228" s="3" t="s">
        <v>152</v>
      </c>
      <c r="T228" s="3" t="s">
        <v>313</v>
      </c>
      <c r="U228" s="3">
        <v>0</v>
      </c>
      <c r="V228" s="3">
        <v>34</v>
      </c>
      <c r="W228" s="3">
        <v>83</v>
      </c>
    </row>
    <row r="229" spans="1:23" ht="11.25" customHeight="1" x14ac:dyDescent="0.25">
      <c r="A229" s="3" t="s">
        <v>28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44440</v>
      </c>
      <c r="J229" s="4">
        <v>0</v>
      </c>
      <c r="K229" s="4">
        <v>0</v>
      </c>
      <c r="L229" s="4">
        <v>6.4290000000000003</v>
      </c>
      <c r="M229" s="4">
        <v>6.4290000000000003</v>
      </c>
      <c r="N229" s="4">
        <v>6.4290000000000003</v>
      </c>
      <c r="O229" s="4">
        <v>6.4290000000000003</v>
      </c>
      <c r="P229" s="4">
        <v>52</v>
      </c>
      <c r="Q229" s="3" t="s">
        <v>26</v>
      </c>
      <c r="R229" s="3">
        <v>0</v>
      </c>
      <c r="S229" s="3" t="s">
        <v>152</v>
      </c>
      <c r="T229" s="3" t="s">
        <v>313</v>
      </c>
      <c r="U229" s="3">
        <v>0</v>
      </c>
      <c r="V229" s="3">
        <v>34</v>
      </c>
      <c r="W229" s="3">
        <v>83</v>
      </c>
    </row>
    <row r="230" spans="1:2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44470</v>
      </c>
      <c r="J230" s="4">
        <v>0</v>
      </c>
      <c r="K230" s="4">
        <v>0</v>
      </c>
      <c r="L230" s="4">
        <v>2341.1759999999999</v>
      </c>
      <c r="M230" s="4">
        <v>2341.1759999999999</v>
      </c>
      <c r="N230" s="4">
        <v>2341.1759999999999</v>
      </c>
      <c r="O230" s="4">
        <v>2341.1759999999999</v>
      </c>
      <c r="P230" s="4">
        <v>11957</v>
      </c>
      <c r="Q230" s="3" t="s">
        <v>26</v>
      </c>
      <c r="R230" s="3">
        <v>0</v>
      </c>
      <c r="S230" s="3" t="s">
        <v>153</v>
      </c>
      <c r="T230" s="3" t="s">
        <v>314</v>
      </c>
      <c r="U230" s="3">
        <v>0</v>
      </c>
      <c r="V230" s="3">
        <v>34</v>
      </c>
      <c r="W230" s="3">
        <v>83</v>
      </c>
    </row>
    <row r="231" spans="1:23" ht="11.25" customHeight="1" x14ac:dyDescent="0.25">
      <c r="A231" s="3" t="s">
        <v>27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44470</v>
      </c>
      <c r="J231" s="4">
        <v>0</v>
      </c>
      <c r="K231" s="4">
        <v>0</v>
      </c>
      <c r="L231" s="4">
        <v>-18.765000000000001</v>
      </c>
      <c r="M231" s="4">
        <v>-18.765000000000001</v>
      </c>
      <c r="N231" s="4">
        <v>-18.765000000000001</v>
      </c>
      <c r="O231" s="4">
        <v>-18.765000000000001</v>
      </c>
      <c r="P231" s="4">
        <v>0</v>
      </c>
      <c r="Q231" s="3" t="s">
        <v>26</v>
      </c>
      <c r="R231" s="3">
        <v>0</v>
      </c>
      <c r="S231" s="3" t="s">
        <v>153</v>
      </c>
      <c r="T231" s="3" t="s">
        <v>314</v>
      </c>
      <c r="U231" s="3">
        <v>0</v>
      </c>
      <c r="V231" s="3">
        <v>34</v>
      </c>
      <c r="W231" s="3">
        <v>83</v>
      </c>
    </row>
    <row r="232" spans="1:23" ht="11.25" customHeight="1" x14ac:dyDescent="0.25">
      <c r="A232" s="3" t="s">
        <v>28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44470</v>
      </c>
      <c r="J232" s="4">
        <v>0</v>
      </c>
      <c r="K232" s="4">
        <v>0</v>
      </c>
      <c r="L232" s="4">
        <v>6.1310000000000002</v>
      </c>
      <c r="M232" s="4">
        <v>6.1310000000000002</v>
      </c>
      <c r="N232" s="4">
        <v>6.1310000000000002</v>
      </c>
      <c r="O232" s="4">
        <v>6.1310000000000002</v>
      </c>
      <c r="P232" s="4">
        <v>58</v>
      </c>
      <c r="Q232" s="3" t="s">
        <v>26</v>
      </c>
      <c r="R232" s="3">
        <v>0</v>
      </c>
      <c r="S232" s="3" t="s">
        <v>153</v>
      </c>
      <c r="T232" s="3" t="s">
        <v>314</v>
      </c>
      <c r="U232" s="3">
        <v>0</v>
      </c>
      <c r="V232" s="3">
        <v>34</v>
      </c>
      <c r="W232" s="3">
        <v>83</v>
      </c>
    </row>
    <row r="233" spans="1:2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44501</v>
      </c>
      <c r="J233" s="4">
        <v>0</v>
      </c>
      <c r="K233" s="4">
        <v>0</v>
      </c>
      <c r="L233" s="4">
        <v>2298.2170000000001</v>
      </c>
      <c r="M233" s="4">
        <v>2298.2170000000001</v>
      </c>
      <c r="N233" s="4">
        <v>2298.2170000000001</v>
      </c>
      <c r="O233" s="4">
        <v>2298.2170000000001</v>
      </c>
      <c r="P233" s="4">
        <v>11966</v>
      </c>
      <c r="Q233" s="3" t="s">
        <v>26</v>
      </c>
      <c r="R233" s="3">
        <v>0</v>
      </c>
      <c r="S233" s="3" t="s">
        <v>154</v>
      </c>
      <c r="T233" s="3" t="s">
        <v>315</v>
      </c>
      <c r="U233" s="3">
        <v>0</v>
      </c>
      <c r="V233" s="3">
        <v>34</v>
      </c>
      <c r="W233" s="3">
        <v>83</v>
      </c>
    </row>
    <row r="234" spans="1:23" ht="11.25" customHeight="1" x14ac:dyDescent="0.25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0</v>
      </c>
      <c r="K234" s="4">
        <v>0</v>
      </c>
      <c r="L234" s="4">
        <v>-10.891</v>
      </c>
      <c r="M234" s="4">
        <v>-10.891</v>
      </c>
      <c r="N234" s="4">
        <v>-10.891</v>
      </c>
      <c r="O234" s="4">
        <v>-10.891</v>
      </c>
      <c r="P234" s="4">
        <v>0</v>
      </c>
      <c r="Q234" s="3" t="s">
        <v>26</v>
      </c>
      <c r="R234" s="3">
        <v>0</v>
      </c>
      <c r="S234" s="3" t="s">
        <v>154</v>
      </c>
      <c r="T234" s="3" t="s">
        <v>315</v>
      </c>
      <c r="U234" s="3">
        <v>0</v>
      </c>
      <c r="V234" s="3">
        <v>34</v>
      </c>
      <c r="W234" s="3">
        <v>83</v>
      </c>
    </row>
    <row r="235" spans="1:23" ht="11.25" customHeight="1" x14ac:dyDescent="0.25">
      <c r="A235" s="3" t="s">
        <v>28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44501</v>
      </c>
      <c r="J235" s="4">
        <v>0</v>
      </c>
      <c r="K235" s="4">
        <v>0</v>
      </c>
      <c r="L235" s="4">
        <v>5.09</v>
      </c>
      <c r="M235" s="4">
        <v>5.09</v>
      </c>
      <c r="N235" s="4">
        <v>5.09</v>
      </c>
      <c r="O235" s="4">
        <v>5.09</v>
      </c>
      <c r="P235" s="4">
        <v>63</v>
      </c>
      <c r="Q235" s="3" t="s">
        <v>26</v>
      </c>
      <c r="R235" s="3">
        <v>0</v>
      </c>
      <c r="S235" s="3" t="s">
        <v>154</v>
      </c>
      <c r="T235" s="3" t="s">
        <v>315</v>
      </c>
      <c r="U235" s="3">
        <v>0</v>
      </c>
      <c r="V235" s="3">
        <v>34</v>
      </c>
      <c r="W235" s="3">
        <v>83</v>
      </c>
    </row>
    <row r="236" spans="1:2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44531</v>
      </c>
      <c r="J236" s="4">
        <v>0</v>
      </c>
      <c r="K236" s="4">
        <v>0</v>
      </c>
      <c r="L236" s="4">
        <v>2454.1689999999999</v>
      </c>
      <c r="M236" s="4">
        <v>2454.1689999999999</v>
      </c>
      <c r="N236" s="4">
        <v>2454.1689999999999</v>
      </c>
      <c r="O236" s="4">
        <v>2454.1689999999999</v>
      </c>
      <c r="P236" s="4">
        <v>11985</v>
      </c>
      <c r="Q236" s="3" t="s">
        <v>26</v>
      </c>
      <c r="R236" s="3">
        <v>0</v>
      </c>
      <c r="S236" s="3" t="s">
        <v>155</v>
      </c>
      <c r="T236" s="3" t="s">
        <v>316</v>
      </c>
      <c r="U236" s="3">
        <v>0</v>
      </c>
      <c r="V236" s="3">
        <v>34</v>
      </c>
      <c r="W236" s="3">
        <v>83</v>
      </c>
    </row>
    <row r="237" spans="1:23" ht="11.25" customHeight="1" x14ac:dyDescent="0.25">
      <c r="A237" s="3" t="s">
        <v>27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-5.4290000000000003</v>
      </c>
      <c r="M237" s="4">
        <v>-5.4290000000000003</v>
      </c>
      <c r="N237" s="4">
        <v>-5.4290000000000003</v>
      </c>
      <c r="O237" s="4">
        <v>-5.4290000000000003</v>
      </c>
      <c r="P237" s="4">
        <v>0</v>
      </c>
      <c r="Q237" s="3" t="s">
        <v>26</v>
      </c>
      <c r="R237" s="3">
        <v>0</v>
      </c>
      <c r="S237" s="3" t="s">
        <v>155</v>
      </c>
      <c r="T237" s="3" t="s">
        <v>316</v>
      </c>
      <c r="U237" s="3">
        <v>0</v>
      </c>
      <c r="V237" s="3">
        <v>34</v>
      </c>
      <c r="W237" s="3">
        <v>83</v>
      </c>
    </row>
    <row r="238" spans="1:23" ht="11.25" customHeight="1" x14ac:dyDescent="0.25">
      <c r="A238" s="3" t="s">
        <v>28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44531</v>
      </c>
      <c r="J238" s="4">
        <v>0</v>
      </c>
      <c r="K238" s="4">
        <v>0</v>
      </c>
      <c r="L238" s="4">
        <v>6.2380000000000004</v>
      </c>
      <c r="M238" s="4">
        <v>6.2380000000000004</v>
      </c>
      <c r="N238" s="4">
        <v>6.2380000000000004</v>
      </c>
      <c r="O238" s="4">
        <v>6.2380000000000004</v>
      </c>
      <c r="P238" s="4">
        <v>65</v>
      </c>
      <c r="Q238" s="3" t="s">
        <v>26</v>
      </c>
      <c r="R238" s="3">
        <v>0</v>
      </c>
      <c r="S238" s="3" t="s">
        <v>155</v>
      </c>
      <c r="T238" s="3" t="s">
        <v>316</v>
      </c>
      <c r="U238" s="3">
        <v>0</v>
      </c>
      <c r="V238" s="3">
        <v>34</v>
      </c>
      <c r="W238" s="3">
        <v>83</v>
      </c>
    </row>
    <row r="239" spans="1:2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44562</v>
      </c>
      <c r="J239" s="4">
        <v>0</v>
      </c>
      <c r="K239" s="4">
        <v>0</v>
      </c>
      <c r="L239" s="4">
        <v>2980.8110000000001</v>
      </c>
      <c r="M239" s="4">
        <v>2980.8110000000001</v>
      </c>
      <c r="N239" s="4">
        <v>2980.8110000000001</v>
      </c>
      <c r="O239" s="4">
        <v>2980.8110000000001</v>
      </c>
      <c r="P239" s="4">
        <v>11989</v>
      </c>
      <c r="Q239" s="3" t="s">
        <v>26</v>
      </c>
      <c r="R239" s="3">
        <v>0</v>
      </c>
      <c r="S239" s="3" t="s">
        <v>156</v>
      </c>
      <c r="T239" s="3" t="s">
        <v>317</v>
      </c>
      <c r="U239" s="3">
        <v>0</v>
      </c>
      <c r="V239" s="3">
        <v>34</v>
      </c>
      <c r="W239" s="3">
        <v>83</v>
      </c>
    </row>
    <row r="240" spans="1:23" ht="11.25" customHeight="1" x14ac:dyDescent="0.25">
      <c r="A240" s="3" t="s">
        <v>27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44562</v>
      </c>
      <c r="J240" s="4">
        <v>0</v>
      </c>
      <c r="K240" s="4">
        <v>0</v>
      </c>
      <c r="L240" s="4">
        <v>-3.6970000000000001</v>
      </c>
      <c r="M240" s="4">
        <v>-3.6970000000000001</v>
      </c>
      <c r="N240" s="4">
        <v>-3.6970000000000001</v>
      </c>
      <c r="O240" s="4">
        <v>-3.6970000000000001</v>
      </c>
      <c r="P240" s="4">
        <v>0</v>
      </c>
      <c r="Q240" s="3" t="s">
        <v>26</v>
      </c>
      <c r="R240" s="3">
        <v>0</v>
      </c>
      <c r="S240" s="3" t="s">
        <v>156</v>
      </c>
      <c r="T240" s="3" t="s">
        <v>317</v>
      </c>
      <c r="U240" s="3">
        <v>0</v>
      </c>
      <c r="V240" s="3">
        <v>34</v>
      </c>
      <c r="W240" s="3">
        <v>83</v>
      </c>
    </row>
    <row r="241" spans="1:23" ht="11.25" customHeight="1" x14ac:dyDescent="0.25">
      <c r="A241" s="3" t="s">
        <v>28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44562</v>
      </c>
      <c r="J241" s="4">
        <v>0</v>
      </c>
      <c r="K241" s="4">
        <v>0</v>
      </c>
      <c r="L241" s="4">
        <v>6.7140000000000004</v>
      </c>
      <c r="M241" s="4">
        <v>6.7140000000000004</v>
      </c>
      <c r="N241" s="4">
        <v>6.7140000000000004</v>
      </c>
      <c r="O241" s="4">
        <v>6.7140000000000004</v>
      </c>
      <c r="P241" s="4">
        <v>70</v>
      </c>
      <c r="Q241" s="3" t="s">
        <v>26</v>
      </c>
      <c r="R241" s="3">
        <v>0</v>
      </c>
      <c r="S241" s="3" t="s">
        <v>156</v>
      </c>
      <c r="T241" s="3" t="s">
        <v>317</v>
      </c>
      <c r="U241" s="3">
        <v>0</v>
      </c>
      <c r="V241" s="3">
        <v>34</v>
      </c>
      <c r="W241" s="3">
        <v>83</v>
      </c>
    </row>
    <row r="242" spans="1:2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44593</v>
      </c>
      <c r="J242" s="4">
        <v>0</v>
      </c>
      <c r="K242" s="4">
        <v>0</v>
      </c>
      <c r="L242" s="4">
        <v>3002.5219999999999</v>
      </c>
      <c r="M242" s="4">
        <v>3002.5219999999999</v>
      </c>
      <c r="N242" s="4">
        <v>3002.5219999999999</v>
      </c>
      <c r="O242" s="4">
        <v>3002.5219999999999</v>
      </c>
      <c r="P242" s="4">
        <v>11991</v>
      </c>
      <c r="Q242" s="3" t="s">
        <v>26</v>
      </c>
      <c r="R242" s="3">
        <v>0</v>
      </c>
      <c r="S242" s="3" t="s">
        <v>157</v>
      </c>
      <c r="T242" s="3" t="s">
        <v>318</v>
      </c>
      <c r="U242" s="3">
        <v>0</v>
      </c>
      <c r="V242" s="3">
        <v>34</v>
      </c>
      <c r="W242" s="3">
        <v>83</v>
      </c>
    </row>
    <row r="243" spans="1:23" ht="11.25" customHeight="1" x14ac:dyDescent="0.25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0</v>
      </c>
      <c r="K243" s="4">
        <v>0</v>
      </c>
      <c r="L243" s="4">
        <v>-2.105</v>
      </c>
      <c r="M243" s="4">
        <v>-2.105</v>
      </c>
      <c r="N243" s="4">
        <v>-2.105</v>
      </c>
      <c r="O243" s="4">
        <v>-2.105</v>
      </c>
      <c r="P243" s="4">
        <v>0</v>
      </c>
      <c r="Q243" s="3" t="s">
        <v>26</v>
      </c>
      <c r="R243" s="3">
        <v>0</v>
      </c>
      <c r="S243" s="3" t="s">
        <v>157</v>
      </c>
      <c r="T243" s="3" t="s">
        <v>318</v>
      </c>
      <c r="U243" s="3">
        <v>0</v>
      </c>
      <c r="V243" s="3">
        <v>34</v>
      </c>
      <c r="W243" s="3">
        <v>83</v>
      </c>
    </row>
    <row r="244" spans="1:2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0</v>
      </c>
      <c r="K244" s="4">
        <v>0</v>
      </c>
      <c r="L244" s="4">
        <v>11.693</v>
      </c>
      <c r="M244" s="4">
        <v>11.693</v>
      </c>
      <c r="N244" s="4">
        <v>11.693</v>
      </c>
      <c r="O244" s="4">
        <v>11.693</v>
      </c>
      <c r="P244" s="4">
        <v>82</v>
      </c>
      <c r="Q244" s="3" t="s">
        <v>26</v>
      </c>
      <c r="R244" s="3">
        <v>0</v>
      </c>
      <c r="S244" s="3" t="s">
        <v>157</v>
      </c>
      <c r="T244" s="3" t="s">
        <v>318</v>
      </c>
      <c r="U244" s="3">
        <v>0</v>
      </c>
      <c r="V244" s="3">
        <v>34</v>
      </c>
      <c r="W244" s="3">
        <v>83</v>
      </c>
    </row>
    <row r="245" spans="1:2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0</v>
      </c>
      <c r="K245" s="4">
        <v>0</v>
      </c>
      <c r="L245" s="4">
        <v>2763.9760000000001</v>
      </c>
      <c r="M245" s="4">
        <v>2763.9760000000001</v>
      </c>
      <c r="N245" s="4">
        <v>2763.9760000000001</v>
      </c>
      <c r="O245" s="4">
        <v>2763.9760000000001</v>
      </c>
      <c r="P245" s="4">
        <v>11984</v>
      </c>
      <c r="Q245" s="3" t="s">
        <v>26</v>
      </c>
      <c r="R245" s="3">
        <v>0</v>
      </c>
      <c r="S245" s="3" t="s">
        <v>158</v>
      </c>
      <c r="T245" s="3" t="s">
        <v>319</v>
      </c>
      <c r="U245" s="3">
        <v>0</v>
      </c>
      <c r="V245" s="3">
        <v>34</v>
      </c>
      <c r="W245" s="3">
        <v>83</v>
      </c>
    </row>
    <row r="246" spans="1:23" ht="11.25" customHeight="1" x14ac:dyDescent="0.25">
      <c r="A246" s="3" t="s">
        <v>27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0</v>
      </c>
      <c r="K246" s="4">
        <v>0</v>
      </c>
      <c r="L246" s="4">
        <v>-4.5149999999999997</v>
      </c>
      <c r="M246" s="4">
        <v>-4.5149999999999997</v>
      </c>
      <c r="N246" s="4">
        <v>-4.5149999999999997</v>
      </c>
      <c r="O246" s="4">
        <v>-4.5149999999999997</v>
      </c>
      <c r="P246" s="4">
        <v>0</v>
      </c>
      <c r="Q246" s="3" t="s">
        <v>26</v>
      </c>
      <c r="R246" s="3">
        <v>0</v>
      </c>
      <c r="S246" s="3" t="s">
        <v>158</v>
      </c>
      <c r="T246" s="3" t="s">
        <v>319</v>
      </c>
      <c r="U246" s="3">
        <v>0</v>
      </c>
      <c r="V246" s="3">
        <v>34</v>
      </c>
      <c r="W246" s="3">
        <v>83</v>
      </c>
    </row>
    <row r="247" spans="1:23" ht="11.25" customHeight="1" x14ac:dyDescent="0.25">
      <c r="A247" s="3" t="s">
        <v>28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0</v>
      </c>
      <c r="K247" s="4">
        <v>0</v>
      </c>
      <c r="L247" s="4">
        <v>11.647</v>
      </c>
      <c r="M247" s="4">
        <v>11.647</v>
      </c>
      <c r="N247" s="4">
        <v>11.647</v>
      </c>
      <c r="O247" s="4">
        <v>11.647</v>
      </c>
      <c r="P247" s="4">
        <v>90</v>
      </c>
      <c r="Q247" s="3" t="s">
        <v>26</v>
      </c>
      <c r="R247" s="3">
        <v>0</v>
      </c>
      <c r="S247" s="3" t="s">
        <v>158</v>
      </c>
      <c r="T247" s="3" t="s">
        <v>319</v>
      </c>
      <c r="U247" s="3">
        <v>0</v>
      </c>
      <c r="V247" s="3">
        <v>34</v>
      </c>
      <c r="W247" s="3">
        <v>83</v>
      </c>
    </row>
    <row r="248" spans="1:2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0</v>
      </c>
      <c r="K248" s="4">
        <v>0</v>
      </c>
      <c r="L248" s="4">
        <v>2415.0230000000001</v>
      </c>
      <c r="M248" s="4">
        <v>2415.0230000000001</v>
      </c>
      <c r="N248" s="4">
        <v>2415.0230000000001</v>
      </c>
      <c r="O248" s="4">
        <v>2415.0230000000001</v>
      </c>
      <c r="P248" s="4">
        <v>12000</v>
      </c>
      <c r="Q248" s="3" t="s">
        <v>26</v>
      </c>
      <c r="R248" s="3">
        <v>0</v>
      </c>
      <c r="S248" s="3" t="s">
        <v>159</v>
      </c>
      <c r="T248" s="3" t="s">
        <v>320</v>
      </c>
      <c r="U248" s="3">
        <v>0</v>
      </c>
      <c r="V248" s="3">
        <v>34</v>
      </c>
      <c r="W248" s="3">
        <v>83</v>
      </c>
    </row>
    <row r="249" spans="1:23" ht="11.25" customHeight="1" x14ac:dyDescent="0.25">
      <c r="A249" s="3" t="s">
        <v>27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4">
        <v>0</v>
      </c>
      <c r="L249" s="4">
        <v>-2.2850000000000001</v>
      </c>
      <c r="M249" s="4">
        <v>-2.2850000000000001</v>
      </c>
      <c r="N249" s="4">
        <v>-2.2850000000000001</v>
      </c>
      <c r="O249" s="4">
        <v>-2.2850000000000001</v>
      </c>
      <c r="P249" s="4">
        <v>0</v>
      </c>
      <c r="Q249" s="3" t="s">
        <v>26</v>
      </c>
      <c r="R249" s="3">
        <v>0</v>
      </c>
      <c r="S249" s="3" t="s">
        <v>159</v>
      </c>
      <c r="T249" s="3" t="s">
        <v>320</v>
      </c>
      <c r="U249" s="3">
        <v>0</v>
      </c>
      <c r="V249" s="3">
        <v>34</v>
      </c>
      <c r="W249" s="3">
        <v>83</v>
      </c>
    </row>
    <row r="250" spans="1:23" ht="11.25" customHeight="1" x14ac:dyDescent="0.25">
      <c r="A250" s="3" t="s">
        <v>28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0</v>
      </c>
      <c r="K250" s="4">
        <v>0</v>
      </c>
      <c r="L250" s="4">
        <v>11.023</v>
      </c>
      <c r="M250" s="4">
        <v>11.023</v>
      </c>
      <c r="N250" s="4">
        <v>11.023</v>
      </c>
      <c r="O250" s="4">
        <v>11.023</v>
      </c>
      <c r="P250" s="4">
        <v>97</v>
      </c>
      <c r="Q250" s="3" t="s">
        <v>26</v>
      </c>
      <c r="R250" s="3">
        <v>0</v>
      </c>
      <c r="S250" s="3" t="s">
        <v>159</v>
      </c>
      <c r="T250" s="3" t="s">
        <v>320</v>
      </c>
      <c r="U250" s="3">
        <v>0</v>
      </c>
      <c r="V250" s="3">
        <v>34</v>
      </c>
      <c r="W250" s="3">
        <v>83</v>
      </c>
    </row>
    <row r="251" spans="1:2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44682</v>
      </c>
      <c r="J251" s="4">
        <v>0</v>
      </c>
      <c r="K251" s="4">
        <v>0</v>
      </c>
      <c r="L251" s="4">
        <v>2203.4090000000001</v>
      </c>
      <c r="M251" s="4">
        <v>2203.4090000000001</v>
      </c>
      <c r="N251" s="4">
        <v>2203.4090000000001</v>
      </c>
      <c r="O251" s="4">
        <v>2203.4090000000001</v>
      </c>
      <c r="P251" s="4">
        <v>11959</v>
      </c>
      <c r="Q251" s="3" t="s">
        <v>26</v>
      </c>
      <c r="R251" s="3">
        <v>0</v>
      </c>
      <c r="S251" s="3" t="s">
        <v>160</v>
      </c>
      <c r="T251" s="3" t="s">
        <v>321</v>
      </c>
      <c r="U251" s="3">
        <v>0</v>
      </c>
      <c r="V251" s="3">
        <v>34</v>
      </c>
      <c r="W251" s="3">
        <v>83</v>
      </c>
    </row>
    <row r="252" spans="1:23" ht="11.25" customHeight="1" x14ac:dyDescent="0.25">
      <c r="A252" s="3" t="s">
        <v>27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0</v>
      </c>
      <c r="K252" s="4">
        <v>0</v>
      </c>
      <c r="L252" s="4">
        <v>-3.4849999999999999</v>
      </c>
      <c r="M252" s="4">
        <v>-3.4849999999999999</v>
      </c>
      <c r="N252" s="4">
        <v>-3.4849999999999999</v>
      </c>
      <c r="O252" s="4">
        <v>-3.4849999999999999</v>
      </c>
      <c r="P252" s="4">
        <v>0</v>
      </c>
      <c r="Q252" s="3" t="s">
        <v>26</v>
      </c>
      <c r="R252" s="3">
        <v>0</v>
      </c>
      <c r="S252" s="3" t="s">
        <v>160</v>
      </c>
      <c r="T252" s="3" t="s">
        <v>321</v>
      </c>
      <c r="U252" s="3">
        <v>0</v>
      </c>
      <c r="V252" s="3">
        <v>34</v>
      </c>
      <c r="W252" s="3">
        <v>83</v>
      </c>
    </row>
    <row r="253" spans="1:23" ht="11.25" customHeight="1" x14ac:dyDescent="0.25">
      <c r="A253" s="3" t="s">
        <v>28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44682</v>
      </c>
      <c r="J253" s="4">
        <v>0</v>
      </c>
      <c r="K253" s="4">
        <v>0</v>
      </c>
      <c r="L253" s="4">
        <v>13.932</v>
      </c>
      <c r="M253" s="4">
        <v>13.932</v>
      </c>
      <c r="N253" s="4">
        <v>13.932</v>
      </c>
      <c r="O253" s="4">
        <v>13.932</v>
      </c>
      <c r="P253" s="4">
        <v>112</v>
      </c>
      <c r="Q253" s="3" t="s">
        <v>26</v>
      </c>
      <c r="R253" s="3">
        <v>0</v>
      </c>
      <c r="S253" s="3" t="s">
        <v>160</v>
      </c>
      <c r="T253" s="3" t="s">
        <v>321</v>
      </c>
      <c r="U253" s="3">
        <v>0</v>
      </c>
      <c r="V253" s="3">
        <v>34</v>
      </c>
      <c r="W253" s="3">
        <v>83</v>
      </c>
    </row>
    <row r="254" spans="1:2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44713</v>
      </c>
      <c r="J254" s="4">
        <v>0</v>
      </c>
      <c r="K254" s="4">
        <v>0</v>
      </c>
      <c r="L254" s="4">
        <v>2484.355</v>
      </c>
      <c r="M254" s="4">
        <v>2484.355</v>
      </c>
      <c r="N254" s="4">
        <v>2484.355</v>
      </c>
      <c r="O254" s="4">
        <v>2484.355</v>
      </c>
      <c r="P254" s="4">
        <v>12065</v>
      </c>
      <c r="Q254" s="3" t="s">
        <v>26</v>
      </c>
      <c r="R254" s="3">
        <v>0</v>
      </c>
      <c r="S254" s="3" t="s">
        <v>161</v>
      </c>
      <c r="T254" s="3" t="s">
        <v>322</v>
      </c>
      <c r="U254" s="3">
        <v>0</v>
      </c>
      <c r="V254" s="3">
        <v>34</v>
      </c>
      <c r="W254" s="3">
        <v>83</v>
      </c>
    </row>
    <row r="255" spans="1:23" ht="11.25" customHeight="1" x14ac:dyDescent="0.25">
      <c r="A255" s="3" t="s">
        <v>27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44713</v>
      </c>
      <c r="J255" s="4">
        <v>0</v>
      </c>
      <c r="K255" s="4">
        <v>0</v>
      </c>
      <c r="L255" s="4">
        <v>-1.319</v>
      </c>
      <c r="M255" s="4">
        <v>-1.319</v>
      </c>
      <c r="N255" s="4">
        <v>-1.319</v>
      </c>
      <c r="O255" s="4">
        <v>-1.319</v>
      </c>
      <c r="P255" s="4">
        <v>0</v>
      </c>
      <c r="Q255" s="3" t="s">
        <v>26</v>
      </c>
      <c r="R255" s="3">
        <v>0</v>
      </c>
      <c r="S255" s="3" t="s">
        <v>161</v>
      </c>
      <c r="T255" s="3" t="s">
        <v>322</v>
      </c>
      <c r="U255" s="3">
        <v>0</v>
      </c>
      <c r="V255" s="3">
        <v>34</v>
      </c>
      <c r="W255" s="3">
        <v>83</v>
      </c>
    </row>
    <row r="256" spans="1:23" ht="11.25" customHeight="1" x14ac:dyDescent="0.25">
      <c r="A256" s="3" t="s">
        <v>28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22.15</v>
      </c>
      <c r="M256" s="4">
        <v>22.15</v>
      </c>
      <c r="N256" s="4">
        <v>22.15</v>
      </c>
      <c r="O256" s="4">
        <v>22.15</v>
      </c>
      <c r="P256" s="4">
        <v>116</v>
      </c>
      <c r="Q256" s="3" t="s">
        <v>26</v>
      </c>
      <c r="R256" s="3">
        <v>0</v>
      </c>
      <c r="S256" s="3" t="s">
        <v>161</v>
      </c>
      <c r="T256" s="3" t="s">
        <v>322</v>
      </c>
      <c r="U256" s="3">
        <v>0</v>
      </c>
      <c r="V256" s="3">
        <v>34</v>
      </c>
      <c r="W256" s="3">
        <v>83</v>
      </c>
    </row>
    <row r="257" spans="1:2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44743</v>
      </c>
      <c r="J257" s="4">
        <v>0</v>
      </c>
      <c r="K257" s="4">
        <v>0</v>
      </c>
      <c r="L257" s="4">
        <v>2394.3290000000002</v>
      </c>
      <c r="M257" s="4">
        <v>2394.3290000000002</v>
      </c>
      <c r="N257" s="4">
        <v>2394.3290000000002</v>
      </c>
      <c r="O257" s="4">
        <v>2394.3290000000002</v>
      </c>
      <c r="P257" s="4">
        <v>12091</v>
      </c>
      <c r="Q257" s="3" t="s">
        <v>26</v>
      </c>
      <c r="R257" s="3">
        <v>0</v>
      </c>
      <c r="S257" s="3" t="s">
        <v>162</v>
      </c>
      <c r="T257" s="3" t="s">
        <v>323</v>
      </c>
      <c r="U257" s="3">
        <v>0</v>
      </c>
      <c r="V257" s="3">
        <v>34</v>
      </c>
      <c r="W257" s="3">
        <v>83</v>
      </c>
    </row>
    <row r="258" spans="1:23" ht="11.25" customHeight="1" x14ac:dyDescent="0.25">
      <c r="A258" s="3" t="s">
        <v>27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44743</v>
      </c>
      <c r="J258" s="4">
        <v>0</v>
      </c>
      <c r="K258" s="4">
        <v>0</v>
      </c>
      <c r="L258" s="4">
        <v>-2.63</v>
      </c>
      <c r="M258" s="4">
        <v>-2.63</v>
      </c>
      <c r="N258" s="4">
        <v>-2.63</v>
      </c>
      <c r="O258" s="4">
        <v>-2.63</v>
      </c>
      <c r="P258" s="4">
        <v>0</v>
      </c>
      <c r="Q258" s="3" t="s">
        <v>26</v>
      </c>
      <c r="R258" s="3">
        <v>0</v>
      </c>
      <c r="S258" s="3" t="s">
        <v>162</v>
      </c>
      <c r="T258" s="3" t="s">
        <v>323</v>
      </c>
      <c r="U258" s="3">
        <v>0</v>
      </c>
      <c r="V258" s="3">
        <v>34</v>
      </c>
      <c r="W258" s="3">
        <v>83</v>
      </c>
    </row>
    <row r="259" spans="1:23" ht="11.25" customHeight="1" x14ac:dyDescent="0.25">
      <c r="A259" s="3" t="s">
        <v>28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44743</v>
      </c>
      <c r="J259" s="4">
        <v>0</v>
      </c>
      <c r="K259" s="4">
        <v>0</v>
      </c>
      <c r="L259" s="4">
        <v>23.007999999999999</v>
      </c>
      <c r="M259" s="4">
        <v>23.007999999999999</v>
      </c>
      <c r="N259" s="4">
        <v>23.007999999999999</v>
      </c>
      <c r="O259" s="4">
        <v>23.007999999999999</v>
      </c>
      <c r="P259" s="4">
        <v>128</v>
      </c>
      <c r="Q259" s="3" t="s">
        <v>26</v>
      </c>
      <c r="R259" s="3">
        <v>0</v>
      </c>
      <c r="S259" s="3" t="s">
        <v>162</v>
      </c>
      <c r="T259" s="3" t="s">
        <v>323</v>
      </c>
      <c r="U259" s="3">
        <v>0</v>
      </c>
      <c r="V259" s="3">
        <v>34</v>
      </c>
      <c r="W259" s="3">
        <v>83</v>
      </c>
    </row>
    <row r="260" spans="1:23" ht="11.25" customHeight="1" x14ac:dyDescent="0.25">
      <c r="A260" s="3" t="s">
        <v>55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44774</v>
      </c>
      <c r="J260" s="4">
        <v>0</v>
      </c>
      <c r="K260" s="4">
        <v>0</v>
      </c>
      <c r="L260" s="4">
        <v>2394.3290000000002</v>
      </c>
      <c r="M260" s="4">
        <v>2394.3290000000002</v>
      </c>
      <c r="N260" s="4">
        <v>2394.3290000000002</v>
      </c>
      <c r="O260" s="4">
        <v>2394.3290000000002</v>
      </c>
      <c r="P260" s="4">
        <v>12091</v>
      </c>
      <c r="Q260" s="3" t="s">
        <v>26</v>
      </c>
      <c r="R260" s="3">
        <v>0</v>
      </c>
      <c r="S260" s="3" t="s">
        <v>163</v>
      </c>
      <c r="T260" s="3" t="s">
        <v>324</v>
      </c>
      <c r="U260" s="3">
        <v>0</v>
      </c>
      <c r="V260" s="3">
        <v>34</v>
      </c>
      <c r="W260" s="3">
        <v>83</v>
      </c>
    </row>
    <row r="261" spans="1:23" ht="11.25" customHeight="1" x14ac:dyDescent="0.25">
      <c r="A261" s="3" t="s">
        <v>55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44774</v>
      </c>
      <c r="J261" s="4">
        <v>0</v>
      </c>
      <c r="K261" s="4">
        <v>0</v>
      </c>
      <c r="L261" s="4">
        <v>-2.63</v>
      </c>
      <c r="M261" s="4">
        <v>-2.63</v>
      </c>
      <c r="N261" s="4">
        <v>-2.63</v>
      </c>
      <c r="O261" s="4">
        <v>-2.63</v>
      </c>
      <c r="P261" s="4">
        <v>0</v>
      </c>
      <c r="Q261" s="3" t="s">
        <v>26</v>
      </c>
      <c r="R261" s="3">
        <v>0</v>
      </c>
      <c r="S261" s="3" t="s">
        <v>163</v>
      </c>
      <c r="T261" s="3" t="s">
        <v>324</v>
      </c>
      <c r="U261" s="3">
        <v>0</v>
      </c>
      <c r="V261" s="3">
        <v>34</v>
      </c>
      <c r="W261" s="3">
        <v>83</v>
      </c>
    </row>
    <row r="262" spans="1:23" ht="11.25" customHeight="1" x14ac:dyDescent="0.25">
      <c r="A262" s="3" t="s">
        <v>55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44774</v>
      </c>
      <c r="J262" s="4">
        <v>0</v>
      </c>
      <c r="K262" s="4">
        <v>0</v>
      </c>
      <c r="L262" s="4">
        <v>23.007999999999999</v>
      </c>
      <c r="M262" s="4">
        <v>23.007999999999999</v>
      </c>
      <c r="N262" s="4">
        <v>23.007999999999999</v>
      </c>
      <c r="O262" s="4">
        <v>23.007999999999999</v>
      </c>
      <c r="P262" s="4">
        <v>128</v>
      </c>
      <c r="Q262" s="3" t="s">
        <v>26</v>
      </c>
      <c r="R262" s="3">
        <v>0</v>
      </c>
      <c r="S262" s="3" t="s">
        <v>163</v>
      </c>
      <c r="T262" s="3" t="s">
        <v>324</v>
      </c>
      <c r="U262" s="3">
        <v>0</v>
      </c>
      <c r="V262" s="3">
        <v>34</v>
      </c>
      <c r="W262" s="3">
        <v>83</v>
      </c>
    </row>
    <row r="263" spans="1:2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29</v>
      </c>
      <c r="F263" s="3" t="s">
        <v>25</v>
      </c>
      <c r="G263" s="3" t="s">
        <v>25</v>
      </c>
      <c r="H263" s="3" t="s">
        <v>25</v>
      </c>
      <c r="I263" s="6">
        <v>44440</v>
      </c>
      <c r="J263" s="4">
        <v>0</v>
      </c>
      <c r="K263" s="4">
        <v>0</v>
      </c>
      <c r="L263" s="4">
        <v>15.03</v>
      </c>
      <c r="M263" s="4">
        <v>15.03</v>
      </c>
      <c r="N263" s="4">
        <v>15.03</v>
      </c>
      <c r="O263" s="4">
        <v>15.03</v>
      </c>
      <c r="P263" s="4">
        <v>14</v>
      </c>
      <c r="Q263" s="3" t="s">
        <v>26</v>
      </c>
      <c r="R263" s="3">
        <v>0</v>
      </c>
      <c r="S263" s="3" t="s">
        <v>164</v>
      </c>
      <c r="T263" s="3" t="s">
        <v>325</v>
      </c>
      <c r="U263" s="3">
        <v>0</v>
      </c>
      <c r="V263" s="3">
        <v>77</v>
      </c>
      <c r="W263" s="3">
        <v>84</v>
      </c>
    </row>
    <row r="264" spans="1:2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29</v>
      </c>
      <c r="F264" s="3" t="s">
        <v>25</v>
      </c>
      <c r="G264" s="3" t="s">
        <v>25</v>
      </c>
      <c r="H264" s="3" t="s">
        <v>25</v>
      </c>
      <c r="I264" s="6">
        <v>44470</v>
      </c>
      <c r="J264" s="4">
        <v>0</v>
      </c>
      <c r="K264" s="4">
        <v>0</v>
      </c>
      <c r="L264" s="4">
        <v>15.36</v>
      </c>
      <c r="M264" s="4">
        <v>15.36</v>
      </c>
      <c r="N264" s="4">
        <v>15.36</v>
      </c>
      <c r="O264" s="4">
        <v>15.36</v>
      </c>
      <c r="P264" s="4">
        <v>13</v>
      </c>
      <c r="Q264" s="3" t="s">
        <v>26</v>
      </c>
      <c r="R264" s="3">
        <v>0</v>
      </c>
      <c r="S264" s="3" t="s">
        <v>165</v>
      </c>
      <c r="T264" s="3" t="s">
        <v>326</v>
      </c>
      <c r="U264" s="3">
        <v>0</v>
      </c>
      <c r="V264" s="3">
        <v>77</v>
      </c>
      <c r="W264" s="3">
        <v>84</v>
      </c>
    </row>
    <row r="265" spans="1:2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44501</v>
      </c>
      <c r="J265" s="4">
        <v>0</v>
      </c>
      <c r="K265" s="4">
        <v>0</v>
      </c>
      <c r="L265" s="4">
        <v>15.48</v>
      </c>
      <c r="M265" s="4">
        <v>15.48</v>
      </c>
      <c r="N265" s="4">
        <v>15.48</v>
      </c>
      <c r="O265" s="4">
        <v>15.48</v>
      </c>
      <c r="P265" s="4">
        <v>9</v>
      </c>
      <c r="Q265" s="3" t="s">
        <v>26</v>
      </c>
      <c r="R265" s="3">
        <v>0</v>
      </c>
      <c r="S265" s="3" t="s">
        <v>166</v>
      </c>
      <c r="T265" s="3" t="s">
        <v>327</v>
      </c>
      <c r="U265" s="3">
        <v>0</v>
      </c>
      <c r="V265" s="3">
        <v>77</v>
      </c>
      <c r="W265" s="3">
        <v>84</v>
      </c>
    </row>
    <row r="266" spans="1:2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44531</v>
      </c>
      <c r="J266" s="4">
        <v>0</v>
      </c>
      <c r="K266" s="4">
        <v>0</v>
      </c>
      <c r="L266" s="4">
        <v>15.587999999999999</v>
      </c>
      <c r="M266" s="4">
        <v>15.587999999999999</v>
      </c>
      <c r="N266" s="4">
        <v>15.587999999999999</v>
      </c>
      <c r="O266" s="4">
        <v>15.587999999999999</v>
      </c>
      <c r="P266" s="4">
        <v>8</v>
      </c>
      <c r="Q266" s="3" t="s">
        <v>26</v>
      </c>
      <c r="R266" s="3">
        <v>0</v>
      </c>
      <c r="S266" s="3" t="s">
        <v>167</v>
      </c>
      <c r="T266" s="3" t="s">
        <v>328</v>
      </c>
      <c r="U266" s="3">
        <v>0</v>
      </c>
      <c r="V266" s="3">
        <v>77</v>
      </c>
      <c r="W266" s="3">
        <v>84</v>
      </c>
    </row>
    <row r="267" spans="1:2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44562</v>
      </c>
      <c r="J267" s="4">
        <v>0</v>
      </c>
      <c r="K267" s="4">
        <v>0</v>
      </c>
      <c r="L267" s="4">
        <v>15.54</v>
      </c>
      <c r="M267" s="4">
        <v>15.54</v>
      </c>
      <c r="N267" s="4">
        <v>15.54</v>
      </c>
      <c r="O267" s="4">
        <v>15.54</v>
      </c>
      <c r="P267" s="4">
        <v>7</v>
      </c>
      <c r="Q267" s="3" t="s">
        <v>26</v>
      </c>
      <c r="R267" s="3">
        <v>0</v>
      </c>
      <c r="S267" s="3" t="s">
        <v>168</v>
      </c>
      <c r="T267" s="3" t="s">
        <v>329</v>
      </c>
      <c r="U267" s="3">
        <v>0</v>
      </c>
      <c r="V267" s="3">
        <v>77</v>
      </c>
      <c r="W267" s="3">
        <v>84</v>
      </c>
    </row>
    <row r="268" spans="1:2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44593</v>
      </c>
      <c r="J268" s="4">
        <v>0</v>
      </c>
      <c r="K268" s="4">
        <v>0</v>
      </c>
      <c r="L268" s="4">
        <v>15.72</v>
      </c>
      <c r="M268" s="4">
        <v>15.72</v>
      </c>
      <c r="N268" s="4">
        <v>15.72</v>
      </c>
      <c r="O268" s="4">
        <v>15.72</v>
      </c>
      <c r="P268" s="4">
        <v>9</v>
      </c>
      <c r="Q268" s="3" t="s">
        <v>26</v>
      </c>
      <c r="R268" s="3">
        <v>0</v>
      </c>
      <c r="S268" s="3" t="s">
        <v>169</v>
      </c>
      <c r="T268" s="3" t="s">
        <v>330</v>
      </c>
      <c r="U268" s="3">
        <v>0</v>
      </c>
      <c r="V268" s="3">
        <v>77</v>
      </c>
      <c r="W268" s="3">
        <v>84</v>
      </c>
    </row>
    <row r="269" spans="1:2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44621</v>
      </c>
      <c r="J269" s="4">
        <v>0</v>
      </c>
      <c r="K269" s="4">
        <v>0</v>
      </c>
      <c r="L269" s="4">
        <v>16.2</v>
      </c>
      <c r="M269" s="4">
        <v>16.2</v>
      </c>
      <c r="N269" s="4">
        <v>16.2</v>
      </c>
      <c r="O269" s="4">
        <v>16.2</v>
      </c>
      <c r="P269" s="4">
        <v>10</v>
      </c>
      <c r="Q269" s="3" t="s">
        <v>26</v>
      </c>
      <c r="R269" s="3">
        <v>0</v>
      </c>
      <c r="S269" s="3" t="s">
        <v>170</v>
      </c>
      <c r="T269" s="3" t="s">
        <v>331</v>
      </c>
      <c r="U269" s="3">
        <v>0</v>
      </c>
      <c r="V269" s="3">
        <v>77</v>
      </c>
      <c r="W269" s="3">
        <v>84</v>
      </c>
    </row>
    <row r="270" spans="1:2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44652</v>
      </c>
      <c r="J270" s="4">
        <v>0</v>
      </c>
      <c r="K270" s="4">
        <v>0</v>
      </c>
      <c r="L270" s="4">
        <v>16.71</v>
      </c>
      <c r="M270" s="4">
        <v>16.71</v>
      </c>
      <c r="N270" s="4">
        <v>16.71</v>
      </c>
      <c r="O270" s="4">
        <v>16.71</v>
      </c>
      <c r="P270" s="4">
        <v>9</v>
      </c>
      <c r="Q270" s="3" t="s">
        <v>26</v>
      </c>
      <c r="R270" s="3">
        <v>0</v>
      </c>
      <c r="S270" s="3" t="s">
        <v>171</v>
      </c>
      <c r="T270" s="3" t="s">
        <v>332</v>
      </c>
      <c r="U270" s="3">
        <v>0</v>
      </c>
      <c r="V270" s="3">
        <v>77</v>
      </c>
      <c r="W270" s="3">
        <v>84</v>
      </c>
    </row>
    <row r="271" spans="1:2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44682</v>
      </c>
      <c r="J271" s="4">
        <v>0</v>
      </c>
      <c r="K271" s="4">
        <v>0</v>
      </c>
      <c r="L271" s="4">
        <v>18.239999999999998</v>
      </c>
      <c r="M271" s="4">
        <v>18.239999999999998</v>
      </c>
      <c r="N271" s="4">
        <v>18.239999999999998</v>
      </c>
      <c r="O271" s="4">
        <v>18.239999999999998</v>
      </c>
      <c r="P271" s="4">
        <v>12</v>
      </c>
      <c r="Q271" s="3" t="s">
        <v>26</v>
      </c>
      <c r="R271" s="3">
        <v>0</v>
      </c>
      <c r="S271" s="3" t="s">
        <v>172</v>
      </c>
      <c r="T271" s="3" t="s">
        <v>333</v>
      </c>
      <c r="U271" s="3">
        <v>0</v>
      </c>
      <c r="V271" s="3">
        <v>77</v>
      </c>
      <c r="W271" s="3">
        <v>84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44713</v>
      </c>
      <c r="J272" s="4">
        <v>0</v>
      </c>
      <c r="K272" s="4">
        <v>0</v>
      </c>
      <c r="L272" s="4">
        <v>15.78</v>
      </c>
      <c r="M272" s="4">
        <v>15.78</v>
      </c>
      <c r="N272" s="4">
        <v>15.78</v>
      </c>
      <c r="O272" s="4">
        <v>15.78</v>
      </c>
      <c r="P272" s="4">
        <v>7</v>
      </c>
      <c r="Q272" s="3" t="s">
        <v>26</v>
      </c>
      <c r="R272" s="3">
        <v>0</v>
      </c>
      <c r="S272" s="3" t="s">
        <v>173</v>
      </c>
      <c r="T272" s="3" t="s">
        <v>334</v>
      </c>
      <c r="U272" s="3">
        <v>0</v>
      </c>
      <c r="V272" s="3">
        <v>77</v>
      </c>
      <c r="W272" s="3">
        <v>84</v>
      </c>
    </row>
    <row r="273" spans="1:2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44713</v>
      </c>
      <c r="J273" s="4">
        <v>0</v>
      </c>
      <c r="K273" s="4">
        <v>0</v>
      </c>
      <c r="L273" s="4">
        <v>0.03</v>
      </c>
      <c r="M273" s="4">
        <v>0.03</v>
      </c>
      <c r="N273" s="4">
        <v>0.03</v>
      </c>
      <c r="O273" s="4">
        <v>0.03</v>
      </c>
      <c r="P273" s="4">
        <v>0</v>
      </c>
      <c r="Q273" s="3" t="s">
        <v>26</v>
      </c>
      <c r="R273" s="3">
        <v>0</v>
      </c>
      <c r="S273" s="3" t="s">
        <v>173</v>
      </c>
      <c r="T273" s="3" t="s">
        <v>334</v>
      </c>
      <c r="U273" s="3">
        <v>0</v>
      </c>
      <c r="V273" s="3">
        <v>77</v>
      </c>
      <c r="W273" s="3">
        <v>84</v>
      </c>
    </row>
    <row r="274" spans="1:2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44743</v>
      </c>
      <c r="J274" s="4">
        <v>0</v>
      </c>
      <c r="K274" s="4">
        <v>0</v>
      </c>
      <c r="L274" s="4">
        <v>15.99</v>
      </c>
      <c r="M274" s="4">
        <v>15.99</v>
      </c>
      <c r="N274" s="4">
        <v>15.99</v>
      </c>
      <c r="O274" s="4">
        <v>15.99</v>
      </c>
      <c r="P274" s="4">
        <v>10</v>
      </c>
      <c r="Q274" s="3" t="s">
        <v>26</v>
      </c>
      <c r="R274" s="3">
        <v>0</v>
      </c>
      <c r="S274" s="3" t="s">
        <v>174</v>
      </c>
      <c r="T274" s="3" t="s">
        <v>335</v>
      </c>
      <c r="U274" s="3">
        <v>0</v>
      </c>
      <c r="V274" s="3">
        <v>77</v>
      </c>
      <c r="W274" s="3">
        <v>84</v>
      </c>
    </row>
    <row r="275" spans="1:23" ht="11.25" customHeight="1" x14ac:dyDescent="0.25">
      <c r="A275" s="3" t="s">
        <v>27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0.06</v>
      </c>
      <c r="M275" s="4">
        <v>0.06</v>
      </c>
      <c r="N275" s="4">
        <v>0.06</v>
      </c>
      <c r="O275" s="4">
        <v>0.06</v>
      </c>
      <c r="P275" s="4">
        <v>0</v>
      </c>
      <c r="Q275" s="3" t="s">
        <v>26</v>
      </c>
      <c r="R275" s="3">
        <v>0</v>
      </c>
      <c r="S275" s="3" t="s">
        <v>174</v>
      </c>
      <c r="T275" s="3" t="s">
        <v>335</v>
      </c>
      <c r="U275" s="3">
        <v>0</v>
      </c>
      <c r="V275" s="3">
        <v>77</v>
      </c>
      <c r="W275" s="3">
        <v>84</v>
      </c>
    </row>
    <row r="276" spans="1:23" ht="11.25" customHeight="1" x14ac:dyDescent="0.25">
      <c r="A276" s="3" t="s">
        <v>55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15.99</v>
      </c>
      <c r="M276" s="4">
        <v>15.99</v>
      </c>
      <c r="N276" s="4">
        <v>15.99</v>
      </c>
      <c r="O276" s="4">
        <v>15.99</v>
      </c>
      <c r="P276" s="4">
        <v>10</v>
      </c>
      <c r="Q276" s="3" t="s">
        <v>26</v>
      </c>
      <c r="R276" s="3">
        <v>0</v>
      </c>
      <c r="S276" s="3" t="s">
        <v>175</v>
      </c>
      <c r="T276" s="3" t="s">
        <v>336</v>
      </c>
      <c r="U276" s="3">
        <v>0</v>
      </c>
      <c r="V276" s="3">
        <v>77</v>
      </c>
      <c r="W276" s="3">
        <v>84</v>
      </c>
    </row>
    <row r="277" spans="1:23" ht="11.25" customHeight="1" x14ac:dyDescent="0.25">
      <c r="A277" s="3" t="s">
        <v>55</v>
      </c>
      <c r="B277" s="3" t="s">
        <v>22</v>
      </c>
      <c r="C277" s="3" t="s">
        <v>23</v>
      </c>
      <c r="D277" s="3" t="s">
        <v>24</v>
      </c>
      <c r="E277" s="3" t="s">
        <v>29</v>
      </c>
      <c r="F277" s="3" t="s">
        <v>25</v>
      </c>
      <c r="G277" s="3" t="s">
        <v>25</v>
      </c>
      <c r="H277" s="3" t="s">
        <v>25</v>
      </c>
      <c r="I277" s="6">
        <v>44774</v>
      </c>
      <c r="J277" s="4">
        <v>0</v>
      </c>
      <c r="K277" s="4">
        <v>0</v>
      </c>
      <c r="L277" s="4">
        <v>0.06</v>
      </c>
      <c r="M277" s="4">
        <v>0.06</v>
      </c>
      <c r="N277" s="4">
        <v>0.06</v>
      </c>
      <c r="O277" s="4">
        <v>0.06</v>
      </c>
      <c r="P277" s="4">
        <v>0</v>
      </c>
      <c r="Q277" s="3" t="s">
        <v>26</v>
      </c>
      <c r="R277" s="3">
        <v>0</v>
      </c>
      <c r="S277" s="3" t="s">
        <v>175</v>
      </c>
      <c r="T277" s="3" t="s">
        <v>336</v>
      </c>
      <c r="U277" s="3">
        <v>0</v>
      </c>
      <c r="V277" s="3">
        <v>77</v>
      </c>
      <c r="W277" s="3">
        <v>84</v>
      </c>
    </row>
    <row r="278" spans="1:2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44440</v>
      </c>
      <c r="J278" s="4">
        <v>0</v>
      </c>
      <c r="K278" s="4">
        <v>0</v>
      </c>
      <c r="L278" s="4">
        <v>32.567999999999998</v>
      </c>
      <c r="M278" s="4">
        <v>32.567999999999998</v>
      </c>
      <c r="N278" s="4">
        <v>32.567999999999998</v>
      </c>
      <c r="O278" s="4">
        <v>32.567999999999998</v>
      </c>
      <c r="P278" s="4">
        <v>64</v>
      </c>
      <c r="Q278" s="3" t="s">
        <v>26</v>
      </c>
      <c r="R278" s="3">
        <v>0</v>
      </c>
      <c r="S278" s="3" t="s">
        <v>176</v>
      </c>
      <c r="T278" s="3" t="s">
        <v>337</v>
      </c>
      <c r="U278" s="3">
        <v>0</v>
      </c>
      <c r="V278" s="3">
        <v>39</v>
      </c>
      <c r="W278" s="3">
        <v>85</v>
      </c>
    </row>
    <row r="279" spans="1:2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44470</v>
      </c>
      <c r="J279" s="4">
        <v>0</v>
      </c>
      <c r="K279" s="4">
        <v>0</v>
      </c>
      <c r="L279" s="4">
        <v>33.476999999999997</v>
      </c>
      <c r="M279" s="4">
        <v>33.476999999999997</v>
      </c>
      <c r="N279" s="4">
        <v>33.476999999999997</v>
      </c>
      <c r="O279" s="4">
        <v>33.476999999999997</v>
      </c>
      <c r="P279" s="4">
        <v>58</v>
      </c>
      <c r="Q279" s="3" t="s">
        <v>26</v>
      </c>
      <c r="R279" s="3">
        <v>0</v>
      </c>
      <c r="S279" s="3" t="s">
        <v>177</v>
      </c>
      <c r="T279" s="3" t="s">
        <v>338</v>
      </c>
      <c r="U279" s="3">
        <v>0</v>
      </c>
      <c r="V279" s="3">
        <v>39</v>
      </c>
      <c r="W279" s="3">
        <v>85</v>
      </c>
    </row>
    <row r="280" spans="1:23" ht="11.25" customHeight="1" x14ac:dyDescent="0.25">
      <c r="A280" s="3" t="s">
        <v>27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44470</v>
      </c>
      <c r="J280" s="4">
        <v>0</v>
      </c>
      <c r="K280" s="4">
        <v>0</v>
      </c>
      <c r="L280" s="4">
        <v>7.0000000000000007E-2</v>
      </c>
      <c r="M280" s="4">
        <v>7.0000000000000007E-2</v>
      </c>
      <c r="N280" s="4">
        <v>7.0000000000000007E-2</v>
      </c>
      <c r="O280" s="4">
        <v>7.0000000000000007E-2</v>
      </c>
      <c r="P280" s="4">
        <v>0</v>
      </c>
      <c r="Q280" s="3" t="s">
        <v>26</v>
      </c>
      <c r="R280" s="3">
        <v>0</v>
      </c>
      <c r="S280" s="3" t="s">
        <v>177</v>
      </c>
      <c r="T280" s="3" t="s">
        <v>338</v>
      </c>
      <c r="U280" s="3">
        <v>0</v>
      </c>
      <c r="V280" s="3">
        <v>39</v>
      </c>
      <c r="W280" s="3">
        <v>85</v>
      </c>
    </row>
    <row r="281" spans="1:2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44501</v>
      </c>
      <c r="J281" s="4">
        <v>0</v>
      </c>
      <c r="K281" s="4">
        <v>0</v>
      </c>
      <c r="L281" s="4">
        <v>34.073</v>
      </c>
      <c r="M281" s="4">
        <v>34.073</v>
      </c>
      <c r="N281" s="4">
        <v>34.073</v>
      </c>
      <c r="O281" s="4">
        <v>34.073</v>
      </c>
      <c r="P281" s="4">
        <v>58</v>
      </c>
      <c r="Q281" s="3" t="s">
        <v>26</v>
      </c>
      <c r="R281" s="3">
        <v>0</v>
      </c>
      <c r="S281" s="3" t="s">
        <v>178</v>
      </c>
      <c r="T281" s="3" t="s">
        <v>339</v>
      </c>
      <c r="U281" s="3">
        <v>0</v>
      </c>
      <c r="V281" s="3">
        <v>39</v>
      </c>
      <c r="W281" s="3">
        <v>85</v>
      </c>
    </row>
    <row r="282" spans="1:2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44531</v>
      </c>
      <c r="J282" s="4">
        <v>0</v>
      </c>
      <c r="K282" s="4">
        <v>0</v>
      </c>
      <c r="L282" s="4">
        <v>34.677</v>
      </c>
      <c r="M282" s="4">
        <v>34.677</v>
      </c>
      <c r="N282" s="4">
        <v>34.677</v>
      </c>
      <c r="O282" s="4">
        <v>34.677</v>
      </c>
      <c r="P282" s="4">
        <v>50</v>
      </c>
      <c r="Q282" s="3" t="s">
        <v>26</v>
      </c>
      <c r="R282" s="3">
        <v>0</v>
      </c>
      <c r="S282" s="3" t="s">
        <v>179</v>
      </c>
      <c r="T282" s="3" t="s">
        <v>340</v>
      </c>
      <c r="U282" s="3">
        <v>0</v>
      </c>
      <c r="V282" s="3">
        <v>39</v>
      </c>
      <c r="W282" s="3">
        <v>85</v>
      </c>
    </row>
    <row r="283" spans="1:2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44562</v>
      </c>
      <c r="J283" s="4">
        <v>0</v>
      </c>
      <c r="K283" s="4">
        <v>0</v>
      </c>
      <c r="L283" s="4">
        <v>35.03</v>
      </c>
      <c r="M283" s="4">
        <v>35.03</v>
      </c>
      <c r="N283" s="4">
        <v>35.03</v>
      </c>
      <c r="O283" s="4">
        <v>35.03</v>
      </c>
      <c r="P283" s="4">
        <v>38</v>
      </c>
      <c r="Q283" s="3" t="s">
        <v>26</v>
      </c>
      <c r="R283" s="3">
        <v>0</v>
      </c>
      <c r="S283" s="3" t="s">
        <v>180</v>
      </c>
      <c r="T283" s="3" t="s">
        <v>341</v>
      </c>
      <c r="U283" s="3">
        <v>0</v>
      </c>
      <c r="V283" s="3">
        <v>39</v>
      </c>
      <c r="W283" s="3">
        <v>85</v>
      </c>
    </row>
    <row r="284" spans="1:2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30</v>
      </c>
      <c r="F284" s="3" t="s">
        <v>25</v>
      </c>
      <c r="G284" s="3" t="s">
        <v>25</v>
      </c>
      <c r="H284" s="3" t="s">
        <v>25</v>
      </c>
      <c r="I284" s="6">
        <v>44593</v>
      </c>
      <c r="J284" s="4">
        <v>0</v>
      </c>
      <c r="K284" s="4">
        <v>0</v>
      </c>
      <c r="L284" s="4">
        <v>35.380000000000003</v>
      </c>
      <c r="M284" s="4">
        <v>35.380000000000003</v>
      </c>
      <c r="N284" s="4">
        <v>35.380000000000003</v>
      </c>
      <c r="O284" s="4">
        <v>35.380000000000003</v>
      </c>
      <c r="P284" s="4">
        <v>43</v>
      </c>
      <c r="Q284" s="3" t="s">
        <v>26</v>
      </c>
      <c r="R284" s="3">
        <v>0</v>
      </c>
      <c r="S284" s="3" t="s">
        <v>181</v>
      </c>
      <c r="T284" s="3" t="s">
        <v>342</v>
      </c>
      <c r="U284" s="3">
        <v>0</v>
      </c>
      <c r="V284" s="3">
        <v>39</v>
      </c>
      <c r="W284" s="3">
        <v>85</v>
      </c>
    </row>
    <row r="285" spans="1:2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30</v>
      </c>
      <c r="F285" s="3" t="s">
        <v>25</v>
      </c>
      <c r="G285" s="3" t="s">
        <v>25</v>
      </c>
      <c r="H285" s="3" t="s">
        <v>25</v>
      </c>
      <c r="I285" s="6">
        <v>44621</v>
      </c>
      <c r="J285" s="4">
        <v>0</v>
      </c>
      <c r="K285" s="4">
        <v>0</v>
      </c>
      <c r="L285" s="4">
        <v>36.347999999999999</v>
      </c>
      <c r="M285" s="4">
        <v>36.347999999999999</v>
      </c>
      <c r="N285" s="4">
        <v>36.347999999999999</v>
      </c>
      <c r="O285" s="4">
        <v>36.347999999999999</v>
      </c>
      <c r="P285" s="4">
        <v>43</v>
      </c>
      <c r="Q285" s="3" t="s">
        <v>26</v>
      </c>
      <c r="R285" s="3">
        <v>0</v>
      </c>
      <c r="S285" s="3" t="s">
        <v>182</v>
      </c>
      <c r="T285" s="3" t="s">
        <v>343</v>
      </c>
      <c r="U285" s="3">
        <v>0</v>
      </c>
      <c r="V285" s="3">
        <v>39</v>
      </c>
      <c r="W285" s="3">
        <v>85</v>
      </c>
    </row>
    <row r="286" spans="1:23" ht="11.25" customHeight="1" x14ac:dyDescent="0.25">
      <c r="A286" s="3" t="s">
        <v>27</v>
      </c>
      <c r="B286" s="3" t="s">
        <v>22</v>
      </c>
      <c r="C286" s="3" t="s">
        <v>23</v>
      </c>
      <c r="D286" s="3" t="s">
        <v>24</v>
      </c>
      <c r="E286" s="3" t="s">
        <v>30</v>
      </c>
      <c r="F286" s="3" t="s">
        <v>25</v>
      </c>
      <c r="G286" s="3" t="s">
        <v>25</v>
      </c>
      <c r="H286" s="3" t="s">
        <v>25</v>
      </c>
      <c r="I286" s="6">
        <v>44621</v>
      </c>
      <c r="J286" s="4">
        <v>0</v>
      </c>
      <c r="K286" s="4">
        <v>0</v>
      </c>
      <c r="L286" s="4">
        <v>7.0000000000000007E-2</v>
      </c>
      <c r="M286" s="4">
        <v>7.0000000000000007E-2</v>
      </c>
      <c r="N286" s="4">
        <v>7.0000000000000007E-2</v>
      </c>
      <c r="O286" s="4">
        <v>7.0000000000000007E-2</v>
      </c>
      <c r="P286" s="4">
        <v>0</v>
      </c>
      <c r="Q286" s="3" t="s">
        <v>26</v>
      </c>
      <c r="R286" s="3">
        <v>0</v>
      </c>
      <c r="S286" s="3" t="s">
        <v>182</v>
      </c>
      <c r="T286" s="3" t="s">
        <v>343</v>
      </c>
      <c r="U286" s="3">
        <v>0</v>
      </c>
      <c r="V286" s="3">
        <v>39</v>
      </c>
      <c r="W286" s="3">
        <v>85</v>
      </c>
    </row>
    <row r="287" spans="1:2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30</v>
      </c>
      <c r="F287" s="3" t="s">
        <v>25</v>
      </c>
      <c r="G287" s="3" t="s">
        <v>25</v>
      </c>
      <c r="H287" s="3" t="s">
        <v>25</v>
      </c>
      <c r="I287" s="6">
        <v>44652</v>
      </c>
      <c r="J287" s="4">
        <v>0</v>
      </c>
      <c r="K287" s="4">
        <v>0</v>
      </c>
      <c r="L287" s="4">
        <v>37.302</v>
      </c>
      <c r="M287" s="4">
        <v>37.302</v>
      </c>
      <c r="N287" s="4">
        <v>37.302</v>
      </c>
      <c r="O287" s="4">
        <v>37.302</v>
      </c>
      <c r="P287" s="4">
        <v>50</v>
      </c>
      <c r="Q287" s="3" t="s">
        <v>26</v>
      </c>
      <c r="R287" s="3">
        <v>0</v>
      </c>
      <c r="S287" s="3" t="s">
        <v>183</v>
      </c>
      <c r="T287" s="3" t="s">
        <v>344</v>
      </c>
      <c r="U287" s="3">
        <v>0</v>
      </c>
      <c r="V287" s="3">
        <v>39</v>
      </c>
      <c r="W287" s="3">
        <v>85</v>
      </c>
    </row>
    <row r="288" spans="1:2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30</v>
      </c>
      <c r="F288" s="3" t="s">
        <v>25</v>
      </c>
      <c r="G288" s="3" t="s">
        <v>25</v>
      </c>
      <c r="H288" s="3" t="s">
        <v>25</v>
      </c>
      <c r="I288" s="6">
        <v>44682</v>
      </c>
      <c r="J288" s="4">
        <v>0</v>
      </c>
      <c r="K288" s="4">
        <v>0</v>
      </c>
      <c r="L288" s="4">
        <v>38.965000000000003</v>
      </c>
      <c r="M288" s="4">
        <v>38.965000000000003</v>
      </c>
      <c r="N288" s="4">
        <v>38.965000000000003</v>
      </c>
      <c r="O288" s="4">
        <v>38.965000000000003</v>
      </c>
      <c r="P288" s="4">
        <v>97</v>
      </c>
      <c r="Q288" s="3" t="s">
        <v>26</v>
      </c>
      <c r="R288" s="3">
        <v>0</v>
      </c>
      <c r="S288" s="3" t="s">
        <v>184</v>
      </c>
      <c r="T288" s="3" t="s">
        <v>345</v>
      </c>
      <c r="U288" s="3">
        <v>0</v>
      </c>
      <c r="V288" s="3">
        <v>39</v>
      </c>
      <c r="W288" s="3">
        <v>85</v>
      </c>
    </row>
    <row r="289" spans="1:2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30</v>
      </c>
      <c r="F289" s="3" t="s">
        <v>25</v>
      </c>
      <c r="G289" s="3" t="s">
        <v>25</v>
      </c>
      <c r="H289" s="3" t="s">
        <v>25</v>
      </c>
      <c r="I289" s="6">
        <v>44713</v>
      </c>
      <c r="J289" s="4">
        <v>0</v>
      </c>
      <c r="K289" s="4">
        <v>0</v>
      </c>
      <c r="L289" s="4">
        <v>33.924999999999997</v>
      </c>
      <c r="M289" s="4">
        <v>33.924999999999997</v>
      </c>
      <c r="N289" s="4">
        <v>33.924999999999997</v>
      </c>
      <c r="O289" s="4">
        <v>33.924999999999997</v>
      </c>
      <c r="P289" s="4">
        <v>78</v>
      </c>
      <c r="Q289" s="3" t="s">
        <v>26</v>
      </c>
      <c r="R289" s="3">
        <v>0</v>
      </c>
      <c r="S289" s="3" t="s">
        <v>185</v>
      </c>
      <c r="T289" s="3" t="s">
        <v>346</v>
      </c>
      <c r="U289" s="3">
        <v>0</v>
      </c>
      <c r="V289" s="3">
        <v>39</v>
      </c>
      <c r="W289" s="3">
        <v>85</v>
      </c>
    </row>
    <row r="290" spans="1:23" ht="11.25" customHeight="1" x14ac:dyDescent="0.25">
      <c r="A290" s="3" t="s">
        <v>27</v>
      </c>
      <c r="B290" s="3" t="s">
        <v>22</v>
      </c>
      <c r="C290" s="3" t="s">
        <v>23</v>
      </c>
      <c r="D290" s="3" t="s">
        <v>24</v>
      </c>
      <c r="E290" s="3" t="s">
        <v>30</v>
      </c>
      <c r="F290" s="3" t="s">
        <v>25</v>
      </c>
      <c r="G290" s="3" t="s">
        <v>25</v>
      </c>
      <c r="H290" s="3" t="s">
        <v>25</v>
      </c>
      <c r="I290" s="6">
        <v>44713</v>
      </c>
      <c r="J290" s="4">
        <v>0</v>
      </c>
      <c r="K290" s="4">
        <v>0</v>
      </c>
      <c r="L290" s="4">
        <v>0.02</v>
      </c>
      <c r="M290" s="4">
        <v>0.02</v>
      </c>
      <c r="N290" s="4">
        <v>0.02</v>
      </c>
      <c r="O290" s="4">
        <v>0.02</v>
      </c>
      <c r="P290" s="4">
        <v>0</v>
      </c>
      <c r="Q290" s="3" t="s">
        <v>26</v>
      </c>
      <c r="R290" s="3">
        <v>0</v>
      </c>
      <c r="S290" s="3" t="s">
        <v>185</v>
      </c>
      <c r="T290" s="3" t="s">
        <v>346</v>
      </c>
      <c r="U290" s="3">
        <v>0</v>
      </c>
      <c r="V290" s="3">
        <v>39</v>
      </c>
      <c r="W290" s="3">
        <v>85</v>
      </c>
    </row>
    <row r="291" spans="1:2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30</v>
      </c>
      <c r="F291" s="3" t="s">
        <v>25</v>
      </c>
      <c r="G291" s="3" t="s">
        <v>25</v>
      </c>
      <c r="H291" s="3" t="s">
        <v>25</v>
      </c>
      <c r="I291" s="6">
        <v>44743</v>
      </c>
      <c r="J291" s="4">
        <v>0</v>
      </c>
      <c r="K291" s="4">
        <v>0</v>
      </c>
      <c r="L291" s="4">
        <v>34.805</v>
      </c>
      <c r="M291" s="4">
        <v>34.805</v>
      </c>
      <c r="N291" s="4">
        <v>34.805</v>
      </c>
      <c r="O291" s="4">
        <v>34.805</v>
      </c>
      <c r="P291" s="4">
        <v>72</v>
      </c>
      <c r="Q291" s="3" t="s">
        <v>26</v>
      </c>
      <c r="R291" s="3">
        <v>0</v>
      </c>
      <c r="S291" s="3" t="s">
        <v>186</v>
      </c>
      <c r="T291" s="3" t="s">
        <v>347</v>
      </c>
      <c r="U291" s="3">
        <v>0</v>
      </c>
      <c r="V291" s="3">
        <v>39</v>
      </c>
      <c r="W291" s="3">
        <v>85</v>
      </c>
    </row>
    <row r="292" spans="1:23" ht="11.25" customHeight="1" x14ac:dyDescent="0.25">
      <c r="A292" s="3" t="s">
        <v>27</v>
      </c>
      <c r="B292" s="3" t="s">
        <v>22</v>
      </c>
      <c r="C292" s="3" t="s">
        <v>23</v>
      </c>
      <c r="D292" s="3" t="s">
        <v>24</v>
      </c>
      <c r="E292" s="3" t="s">
        <v>30</v>
      </c>
      <c r="F292" s="3" t="s">
        <v>25</v>
      </c>
      <c r="G292" s="3" t="s">
        <v>25</v>
      </c>
      <c r="H292" s="3" t="s">
        <v>25</v>
      </c>
      <c r="I292" s="6">
        <v>44743</v>
      </c>
      <c r="J292" s="4">
        <v>0</v>
      </c>
      <c r="K292" s="4">
        <v>0</v>
      </c>
      <c r="L292" s="4">
        <v>0.14000000000000001</v>
      </c>
      <c r="M292" s="4">
        <v>0.14000000000000001</v>
      </c>
      <c r="N292" s="4">
        <v>0.14000000000000001</v>
      </c>
      <c r="O292" s="4">
        <v>0.14000000000000001</v>
      </c>
      <c r="P292" s="4">
        <v>0</v>
      </c>
      <c r="Q292" s="3" t="s">
        <v>26</v>
      </c>
      <c r="R292" s="3">
        <v>0</v>
      </c>
      <c r="S292" s="3" t="s">
        <v>186</v>
      </c>
      <c r="T292" s="3" t="s">
        <v>347</v>
      </c>
      <c r="U292" s="3">
        <v>0</v>
      </c>
      <c r="V292" s="3">
        <v>39</v>
      </c>
      <c r="W292" s="3">
        <v>85</v>
      </c>
    </row>
    <row r="293" spans="1:23" ht="11.25" customHeight="1" x14ac:dyDescent="0.25">
      <c r="A293" s="3" t="s">
        <v>55</v>
      </c>
      <c r="B293" s="3" t="s">
        <v>22</v>
      </c>
      <c r="C293" s="3" t="s">
        <v>23</v>
      </c>
      <c r="D293" s="3" t="s">
        <v>24</v>
      </c>
      <c r="E293" s="3" t="s">
        <v>30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34.805</v>
      </c>
      <c r="M293" s="4">
        <v>34.805</v>
      </c>
      <c r="N293" s="4">
        <v>34.805</v>
      </c>
      <c r="O293" s="4">
        <v>34.805</v>
      </c>
      <c r="P293" s="4">
        <v>72</v>
      </c>
      <c r="Q293" s="3" t="s">
        <v>26</v>
      </c>
      <c r="R293" s="3">
        <v>0</v>
      </c>
      <c r="S293" s="3" t="s">
        <v>187</v>
      </c>
      <c r="T293" s="3" t="s">
        <v>348</v>
      </c>
      <c r="U293" s="3">
        <v>0</v>
      </c>
      <c r="V293" s="3">
        <v>39</v>
      </c>
      <c r="W293" s="3">
        <v>85</v>
      </c>
    </row>
    <row r="294" spans="1:23" ht="11.25" customHeight="1" x14ac:dyDescent="0.25">
      <c r="A294" s="3" t="s">
        <v>55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44774</v>
      </c>
      <c r="J294" s="4">
        <v>0</v>
      </c>
      <c r="K294" s="4">
        <v>0</v>
      </c>
      <c r="L294" s="4">
        <v>0.14000000000000001</v>
      </c>
      <c r="M294" s="4">
        <v>0.14000000000000001</v>
      </c>
      <c r="N294" s="4">
        <v>0.14000000000000001</v>
      </c>
      <c r="O294" s="4">
        <v>0.14000000000000001</v>
      </c>
      <c r="P294" s="4">
        <v>0</v>
      </c>
      <c r="Q294" s="3" t="s">
        <v>26</v>
      </c>
      <c r="R294" s="3">
        <v>0</v>
      </c>
      <c r="S294" s="3" t="s">
        <v>187</v>
      </c>
      <c r="T294" s="3" t="s">
        <v>348</v>
      </c>
      <c r="U294" s="3">
        <v>0</v>
      </c>
      <c r="V294" s="3">
        <v>39</v>
      </c>
      <c r="W294" s="3">
        <v>85</v>
      </c>
    </row>
    <row r="295" spans="1:2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0</v>
      </c>
      <c r="K295" s="4">
        <v>0</v>
      </c>
      <c r="L295" s="4">
        <v>37.183</v>
      </c>
      <c r="M295" s="4">
        <v>37.183</v>
      </c>
      <c r="N295" s="4">
        <v>37.183</v>
      </c>
      <c r="O295" s="4">
        <v>37.183</v>
      </c>
      <c r="P295" s="4">
        <v>237</v>
      </c>
      <c r="Q295" s="3" t="s">
        <v>26</v>
      </c>
      <c r="R295" s="3">
        <v>0</v>
      </c>
      <c r="S295" s="3" t="s">
        <v>188</v>
      </c>
      <c r="T295" s="3" t="s">
        <v>349</v>
      </c>
      <c r="U295" s="3">
        <v>0</v>
      </c>
      <c r="V295" s="3">
        <v>36</v>
      </c>
      <c r="W295" s="3">
        <v>86</v>
      </c>
    </row>
    <row r="296" spans="1:2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31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36.628</v>
      </c>
      <c r="M296" s="4">
        <v>36.628</v>
      </c>
      <c r="N296" s="4">
        <v>36.628</v>
      </c>
      <c r="O296" s="4">
        <v>36.628</v>
      </c>
      <c r="P296" s="4">
        <v>268</v>
      </c>
      <c r="Q296" s="3" t="s">
        <v>26</v>
      </c>
      <c r="R296" s="3">
        <v>0</v>
      </c>
      <c r="S296" s="3" t="s">
        <v>189</v>
      </c>
      <c r="T296" s="3" t="s">
        <v>350</v>
      </c>
      <c r="U296" s="3">
        <v>0</v>
      </c>
      <c r="V296" s="3">
        <v>36</v>
      </c>
      <c r="W296" s="3">
        <v>86</v>
      </c>
    </row>
    <row r="297" spans="1:2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31</v>
      </c>
      <c r="F297" s="3" t="s">
        <v>25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0.10199999999999999</v>
      </c>
      <c r="M297" s="4">
        <v>0.10199999999999999</v>
      </c>
      <c r="N297" s="4">
        <v>0.10199999999999999</v>
      </c>
      <c r="O297" s="4">
        <v>0.10199999999999999</v>
      </c>
      <c r="P297" s="4">
        <v>0</v>
      </c>
      <c r="Q297" s="3" t="s">
        <v>26</v>
      </c>
      <c r="R297" s="3">
        <v>0</v>
      </c>
      <c r="S297" s="3" t="s">
        <v>189</v>
      </c>
      <c r="T297" s="3" t="s">
        <v>350</v>
      </c>
      <c r="U297" s="3">
        <v>0</v>
      </c>
      <c r="V297" s="3">
        <v>36</v>
      </c>
      <c r="W297" s="3">
        <v>86</v>
      </c>
    </row>
    <row r="298" spans="1:2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31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38.396000000000001</v>
      </c>
      <c r="M298" s="4">
        <v>38.396000000000001</v>
      </c>
      <c r="N298" s="4">
        <v>38.396000000000001</v>
      </c>
      <c r="O298" s="4">
        <v>38.396000000000001</v>
      </c>
      <c r="P298" s="4">
        <v>266</v>
      </c>
      <c r="Q298" s="3" t="s">
        <v>26</v>
      </c>
      <c r="R298" s="3">
        <v>0</v>
      </c>
      <c r="S298" s="3" t="s">
        <v>190</v>
      </c>
      <c r="T298" s="3" t="s">
        <v>351</v>
      </c>
      <c r="U298" s="3">
        <v>0</v>
      </c>
      <c r="V298" s="3">
        <v>36</v>
      </c>
      <c r="W298" s="3">
        <v>86</v>
      </c>
    </row>
    <row r="299" spans="1:23" ht="11.25" customHeight="1" x14ac:dyDescent="0.25">
      <c r="A299" s="3" t="s">
        <v>27</v>
      </c>
      <c r="B299" s="3" t="s">
        <v>22</v>
      </c>
      <c r="C299" s="3" t="s">
        <v>23</v>
      </c>
      <c r="D299" s="3" t="s">
        <v>24</v>
      </c>
      <c r="E299" s="3" t="s">
        <v>31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-0.12</v>
      </c>
      <c r="M299" s="4">
        <v>-0.12</v>
      </c>
      <c r="N299" s="4">
        <v>-0.12</v>
      </c>
      <c r="O299" s="4">
        <v>-0.12</v>
      </c>
      <c r="P299" s="4">
        <v>0</v>
      </c>
      <c r="Q299" s="3" t="s">
        <v>26</v>
      </c>
      <c r="R299" s="3">
        <v>0</v>
      </c>
      <c r="S299" s="3" t="s">
        <v>190</v>
      </c>
      <c r="T299" s="3" t="s">
        <v>351</v>
      </c>
      <c r="U299" s="3">
        <v>0</v>
      </c>
      <c r="V299" s="3">
        <v>36</v>
      </c>
      <c r="W299" s="3">
        <v>86</v>
      </c>
    </row>
    <row r="300" spans="1:2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31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40.651000000000003</v>
      </c>
      <c r="M300" s="4">
        <v>40.651000000000003</v>
      </c>
      <c r="N300" s="4">
        <v>40.651000000000003</v>
      </c>
      <c r="O300" s="4">
        <v>40.651000000000003</v>
      </c>
      <c r="P300" s="4">
        <v>254</v>
      </c>
      <c r="Q300" s="3" t="s">
        <v>26</v>
      </c>
      <c r="R300" s="3">
        <v>0</v>
      </c>
      <c r="S300" s="3" t="s">
        <v>191</v>
      </c>
      <c r="T300" s="3" t="s">
        <v>352</v>
      </c>
      <c r="U300" s="3">
        <v>0</v>
      </c>
      <c r="V300" s="3">
        <v>36</v>
      </c>
      <c r="W300" s="3">
        <v>86</v>
      </c>
    </row>
    <row r="301" spans="1:23" ht="11.25" customHeight="1" x14ac:dyDescent="0.25">
      <c r="A301" s="3" t="s">
        <v>27</v>
      </c>
      <c r="B301" s="3" t="s">
        <v>22</v>
      </c>
      <c r="C301" s="3" t="s">
        <v>23</v>
      </c>
      <c r="D301" s="3" t="s">
        <v>24</v>
      </c>
      <c r="E301" s="3" t="s">
        <v>31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-0.12</v>
      </c>
      <c r="M301" s="4">
        <v>-0.12</v>
      </c>
      <c r="N301" s="4">
        <v>-0.12</v>
      </c>
      <c r="O301" s="4">
        <v>-0.12</v>
      </c>
      <c r="P301" s="4">
        <v>0</v>
      </c>
      <c r="Q301" s="3" t="s">
        <v>26</v>
      </c>
      <c r="R301" s="3">
        <v>0</v>
      </c>
      <c r="S301" s="3" t="s">
        <v>191</v>
      </c>
      <c r="T301" s="3" t="s">
        <v>352</v>
      </c>
      <c r="U301" s="3">
        <v>0</v>
      </c>
      <c r="V301" s="3">
        <v>36</v>
      </c>
      <c r="W301" s="3">
        <v>86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31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46.091999999999999</v>
      </c>
      <c r="M302" s="4">
        <v>46.091999999999999</v>
      </c>
      <c r="N302" s="4">
        <v>46.091999999999999</v>
      </c>
      <c r="O302" s="4">
        <v>46.091999999999999</v>
      </c>
      <c r="P302" s="4">
        <v>201</v>
      </c>
      <c r="Q302" s="3" t="s">
        <v>26</v>
      </c>
      <c r="R302" s="3">
        <v>0</v>
      </c>
      <c r="S302" s="3" t="s">
        <v>192</v>
      </c>
      <c r="T302" s="3" t="s">
        <v>353</v>
      </c>
      <c r="U302" s="3">
        <v>0</v>
      </c>
      <c r="V302" s="3">
        <v>36</v>
      </c>
      <c r="W302" s="3">
        <v>86</v>
      </c>
    </row>
    <row r="303" spans="1:2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31</v>
      </c>
      <c r="F303" s="3" t="s">
        <v>25</v>
      </c>
      <c r="G303" s="3" t="s">
        <v>25</v>
      </c>
      <c r="H303" s="3" t="s">
        <v>25</v>
      </c>
      <c r="I303" s="6">
        <v>44593</v>
      </c>
      <c r="J303" s="4">
        <v>0</v>
      </c>
      <c r="K303" s="4">
        <v>0</v>
      </c>
      <c r="L303" s="4">
        <v>45.088000000000001</v>
      </c>
      <c r="M303" s="4">
        <v>45.088000000000001</v>
      </c>
      <c r="N303" s="4">
        <v>45.088000000000001</v>
      </c>
      <c r="O303" s="4">
        <v>45.088000000000001</v>
      </c>
      <c r="P303" s="4">
        <v>218</v>
      </c>
      <c r="Q303" s="3" t="s">
        <v>26</v>
      </c>
      <c r="R303" s="3">
        <v>0</v>
      </c>
      <c r="S303" s="3" t="s">
        <v>193</v>
      </c>
      <c r="T303" s="3" t="s">
        <v>354</v>
      </c>
      <c r="U303" s="3">
        <v>0</v>
      </c>
      <c r="V303" s="3">
        <v>36</v>
      </c>
      <c r="W303" s="3">
        <v>86</v>
      </c>
    </row>
    <row r="304" spans="1:2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31</v>
      </c>
      <c r="F304" s="3" t="s">
        <v>25</v>
      </c>
      <c r="G304" s="3" t="s">
        <v>25</v>
      </c>
      <c r="H304" s="3" t="s">
        <v>25</v>
      </c>
      <c r="I304" s="6">
        <v>44621</v>
      </c>
      <c r="J304" s="4">
        <v>0</v>
      </c>
      <c r="K304" s="4">
        <v>0</v>
      </c>
      <c r="L304" s="4">
        <v>44.905999999999999</v>
      </c>
      <c r="M304" s="4">
        <v>44.905999999999999</v>
      </c>
      <c r="N304" s="4">
        <v>44.905999999999999</v>
      </c>
      <c r="O304" s="4">
        <v>44.905999999999999</v>
      </c>
      <c r="P304" s="4">
        <v>249</v>
      </c>
      <c r="Q304" s="3" t="s">
        <v>26</v>
      </c>
      <c r="R304" s="3">
        <v>0</v>
      </c>
      <c r="S304" s="3" t="s">
        <v>194</v>
      </c>
      <c r="T304" s="3" t="s">
        <v>355</v>
      </c>
      <c r="U304" s="3">
        <v>0</v>
      </c>
      <c r="V304" s="3">
        <v>36</v>
      </c>
      <c r="W304" s="3">
        <v>86</v>
      </c>
    </row>
    <row r="305" spans="1:23" ht="11.25" customHeight="1" x14ac:dyDescent="0.25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31</v>
      </c>
      <c r="F305" s="3" t="s">
        <v>25</v>
      </c>
      <c r="G305" s="3" t="s">
        <v>25</v>
      </c>
      <c r="H305" s="3" t="s">
        <v>25</v>
      </c>
      <c r="I305" s="6">
        <v>44621</v>
      </c>
      <c r="J305" s="4">
        <v>0</v>
      </c>
      <c r="K305" s="4">
        <v>0</v>
      </c>
      <c r="L305" s="4">
        <v>0.03</v>
      </c>
      <c r="M305" s="4">
        <v>0.03</v>
      </c>
      <c r="N305" s="4">
        <v>0.03</v>
      </c>
      <c r="O305" s="4">
        <v>0.03</v>
      </c>
      <c r="P305" s="4">
        <v>0</v>
      </c>
      <c r="Q305" s="3" t="s">
        <v>26</v>
      </c>
      <c r="R305" s="3">
        <v>0</v>
      </c>
      <c r="S305" s="3" t="s">
        <v>194</v>
      </c>
      <c r="T305" s="3" t="s">
        <v>355</v>
      </c>
      <c r="U305" s="3">
        <v>0</v>
      </c>
      <c r="V305" s="3">
        <v>36</v>
      </c>
      <c r="W305" s="3">
        <v>86</v>
      </c>
    </row>
    <row r="306" spans="1:2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31</v>
      </c>
      <c r="F306" s="3" t="s">
        <v>25</v>
      </c>
      <c r="G306" s="3" t="s">
        <v>25</v>
      </c>
      <c r="H306" s="3" t="s">
        <v>25</v>
      </c>
      <c r="I306" s="6">
        <v>44652</v>
      </c>
      <c r="J306" s="4">
        <v>0</v>
      </c>
      <c r="K306" s="4">
        <v>0</v>
      </c>
      <c r="L306" s="4">
        <v>44.447000000000003</v>
      </c>
      <c r="M306" s="4">
        <v>44.447000000000003</v>
      </c>
      <c r="N306" s="4">
        <v>44.447000000000003</v>
      </c>
      <c r="O306" s="4">
        <v>44.447000000000003</v>
      </c>
      <c r="P306" s="4">
        <v>273</v>
      </c>
      <c r="Q306" s="3" t="s">
        <v>26</v>
      </c>
      <c r="R306" s="3">
        <v>0</v>
      </c>
      <c r="S306" s="3" t="s">
        <v>195</v>
      </c>
      <c r="T306" s="3" t="s">
        <v>356</v>
      </c>
      <c r="U306" s="3">
        <v>0</v>
      </c>
      <c r="V306" s="3">
        <v>36</v>
      </c>
      <c r="W306" s="3">
        <v>86</v>
      </c>
    </row>
    <row r="307" spans="1:2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31</v>
      </c>
      <c r="F307" s="3" t="s">
        <v>25</v>
      </c>
      <c r="G307" s="3" t="s">
        <v>25</v>
      </c>
      <c r="H307" s="3" t="s">
        <v>25</v>
      </c>
      <c r="I307" s="6">
        <v>44682</v>
      </c>
      <c r="J307" s="4">
        <v>0</v>
      </c>
      <c r="K307" s="4">
        <v>0</v>
      </c>
      <c r="L307" s="4">
        <v>40.914999999999999</v>
      </c>
      <c r="M307" s="4">
        <v>40.914999999999999</v>
      </c>
      <c r="N307" s="4">
        <v>40.914999999999999</v>
      </c>
      <c r="O307" s="4">
        <v>40.914999999999999</v>
      </c>
      <c r="P307" s="4">
        <v>311</v>
      </c>
      <c r="Q307" s="3" t="s">
        <v>26</v>
      </c>
      <c r="R307" s="3">
        <v>0</v>
      </c>
      <c r="S307" s="3" t="s">
        <v>196</v>
      </c>
      <c r="T307" s="3" t="s">
        <v>357</v>
      </c>
      <c r="U307" s="3">
        <v>0</v>
      </c>
      <c r="V307" s="3">
        <v>36</v>
      </c>
      <c r="W307" s="3">
        <v>86</v>
      </c>
    </row>
    <row r="308" spans="1:2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31</v>
      </c>
      <c r="F308" s="3" t="s">
        <v>25</v>
      </c>
      <c r="G308" s="3" t="s">
        <v>25</v>
      </c>
      <c r="H308" s="3" t="s">
        <v>25</v>
      </c>
      <c r="I308" s="6">
        <v>44713</v>
      </c>
      <c r="J308" s="4">
        <v>0</v>
      </c>
      <c r="K308" s="4">
        <v>0</v>
      </c>
      <c r="L308" s="4">
        <v>37.840000000000003</v>
      </c>
      <c r="M308" s="4">
        <v>37.840000000000003</v>
      </c>
      <c r="N308" s="4">
        <v>37.840000000000003</v>
      </c>
      <c r="O308" s="4">
        <v>37.840000000000003</v>
      </c>
      <c r="P308" s="4">
        <v>242</v>
      </c>
      <c r="Q308" s="3" t="s">
        <v>26</v>
      </c>
      <c r="R308" s="3">
        <v>0</v>
      </c>
      <c r="S308" s="3" t="s">
        <v>197</v>
      </c>
      <c r="T308" s="3" t="s">
        <v>358</v>
      </c>
      <c r="U308" s="3">
        <v>0</v>
      </c>
      <c r="V308" s="3">
        <v>36</v>
      </c>
      <c r="W308" s="3">
        <v>86</v>
      </c>
    </row>
    <row r="309" spans="1:23" ht="11.25" customHeight="1" x14ac:dyDescent="0.25">
      <c r="A309" s="3" t="s">
        <v>27</v>
      </c>
      <c r="B309" s="3" t="s">
        <v>22</v>
      </c>
      <c r="C309" s="3" t="s">
        <v>23</v>
      </c>
      <c r="D309" s="3" t="s">
        <v>24</v>
      </c>
      <c r="E309" s="3" t="s">
        <v>31</v>
      </c>
      <c r="F309" s="3" t="s">
        <v>25</v>
      </c>
      <c r="G309" s="3" t="s">
        <v>25</v>
      </c>
      <c r="H309" s="3" t="s">
        <v>25</v>
      </c>
      <c r="I309" s="6">
        <v>44713</v>
      </c>
      <c r="J309" s="4">
        <v>0</v>
      </c>
      <c r="K309" s="4">
        <v>0</v>
      </c>
      <c r="L309" s="4">
        <v>-1.6E-2</v>
      </c>
      <c r="M309" s="4">
        <v>-1.6E-2</v>
      </c>
      <c r="N309" s="4">
        <v>-1.6E-2</v>
      </c>
      <c r="O309" s="4">
        <v>-1.6E-2</v>
      </c>
      <c r="P309" s="4">
        <v>0</v>
      </c>
      <c r="Q309" s="3" t="s">
        <v>26</v>
      </c>
      <c r="R309" s="3">
        <v>0</v>
      </c>
      <c r="S309" s="3" t="s">
        <v>197</v>
      </c>
      <c r="T309" s="3" t="s">
        <v>358</v>
      </c>
      <c r="U309" s="3">
        <v>0</v>
      </c>
      <c r="V309" s="3">
        <v>36</v>
      </c>
      <c r="W309" s="3">
        <v>86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31</v>
      </c>
      <c r="F310" s="3" t="s">
        <v>25</v>
      </c>
      <c r="G310" s="3" t="s">
        <v>25</v>
      </c>
      <c r="H310" s="3" t="s">
        <v>25</v>
      </c>
      <c r="I310" s="6">
        <v>44743</v>
      </c>
      <c r="J310" s="4">
        <v>0</v>
      </c>
      <c r="K310" s="4">
        <v>0</v>
      </c>
      <c r="L310" s="4">
        <v>37.328000000000003</v>
      </c>
      <c r="M310" s="4">
        <v>37.328000000000003</v>
      </c>
      <c r="N310" s="4">
        <v>37.328000000000003</v>
      </c>
      <c r="O310" s="4">
        <v>37.328000000000003</v>
      </c>
      <c r="P310" s="4">
        <v>262</v>
      </c>
      <c r="Q310" s="3" t="s">
        <v>26</v>
      </c>
      <c r="R310" s="3">
        <v>0</v>
      </c>
      <c r="S310" s="3" t="s">
        <v>198</v>
      </c>
      <c r="T310" s="3" t="s">
        <v>359</v>
      </c>
      <c r="U310" s="3">
        <v>0</v>
      </c>
      <c r="V310" s="3">
        <v>36</v>
      </c>
      <c r="W310" s="3">
        <v>86</v>
      </c>
    </row>
    <row r="311" spans="1:23" ht="11.25" customHeight="1" x14ac:dyDescent="0.25">
      <c r="A311" s="3" t="s">
        <v>27</v>
      </c>
      <c r="B311" s="3" t="s">
        <v>22</v>
      </c>
      <c r="C311" s="3" t="s">
        <v>23</v>
      </c>
      <c r="D311" s="3" t="s">
        <v>24</v>
      </c>
      <c r="E311" s="3" t="s">
        <v>31</v>
      </c>
      <c r="F311" s="3" t="s">
        <v>25</v>
      </c>
      <c r="G311" s="3" t="s">
        <v>25</v>
      </c>
      <c r="H311" s="3" t="s">
        <v>25</v>
      </c>
      <c r="I311" s="6">
        <v>44743</v>
      </c>
      <c r="J311" s="4">
        <v>0</v>
      </c>
      <c r="K311" s="4">
        <v>0</v>
      </c>
      <c r="L311" s="4">
        <v>0.13200000000000001</v>
      </c>
      <c r="M311" s="4">
        <v>0.13200000000000001</v>
      </c>
      <c r="N311" s="4">
        <v>0.13200000000000001</v>
      </c>
      <c r="O311" s="4">
        <v>0.13200000000000001</v>
      </c>
      <c r="P311" s="4">
        <v>0</v>
      </c>
      <c r="Q311" s="3" t="s">
        <v>26</v>
      </c>
      <c r="R311" s="3">
        <v>0</v>
      </c>
      <c r="S311" s="3" t="s">
        <v>198</v>
      </c>
      <c r="T311" s="3" t="s">
        <v>359</v>
      </c>
      <c r="U311" s="3">
        <v>0</v>
      </c>
      <c r="V311" s="3">
        <v>36</v>
      </c>
      <c r="W311" s="3">
        <v>86</v>
      </c>
    </row>
    <row r="312" spans="1:23" ht="11.25" customHeight="1" x14ac:dyDescent="0.25">
      <c r="A312" s="3" t="s">
        <v>55</v>
      </c>
      <c r="B312" s="3" t="s">
        <v>22</v>
      </c>
      <c r="C312" s="3" t="s">
        <v>23</v>
      </c>
      <c r="D312" s="3" t="s">
        <v>24</v>
      </c>
      <c r="E312" s="3" t="s">
        <v>31</v>
      </c>
      <c r="F312" s="3" t="s">
        <v>25</v>
      </c>
      <c r="G312" s="3" t="s">
        <v>25</v>
      </c>
      <c r="H312" s="3" t="s">
        <v>25</v>
      </c>
      <c r="I312" s="6">
        <v>44774</v>
      </c>
      <c r="J312" s="4">
        <v>0</v>
      </c>
      <c r="K312" s="4">
        <v>0</v>
      </c>
      <c r="L312" s="4">
        <v>37.328000000000003</v>
      </c>
      <c r="M312" s="4">
        <v>37.328000000000003</v>
      </c>
      <c r="N312" s="4">
        <v>37.328000000000003</v>
      </c>
      <c r="O312" s="4">
        <v>37.328000000000003</v>
      </c>
      <c r="P312" s="4">
        <v>262</v>
      </c>
      <c r="Q312" s="3" t="s">
        <v>26</v>
      </c>
      <c r="R312" s="3">
        <v>0</v>
      </c>
      <c r="S312" s="3" t="s">
        <v>199</v>
      </c>
      <c r="T312" s="3" t="s">
        <v>360</v>
      </c>
      <c r="U312" s="3">
        <v>0</v>
      </c>
      <c r="V312" s="3">
        <v>36</v>
      </c>
      <c r="W312" s="3">
        <v>86</v>
      </c>
    </row>
    <row r="313" spans="1:23" ht="11.25" customHeight="1" x14ac:dyDescent="0.25">
      <c r="A313" s="3" t="s">
        <v>55</v>
      </c>
      <c r="B313" s="3" t="s">
        <v>22</v>
      </c>
      <c r="C313" s="3" t="s">
        <v>23</v>
      </c>
      <c r="D313" s="3" t="s">
        <v>24</v>
      </c>
      <c r="E313" s="3" t="s">
        <v>31</v>
      </c>
      <c r="F313" s="3" t="s">
        <v>25</v>
      </c>
      <c r="G313" s="3" t="s">
        <v>25</v>
      </c>
      <c r="H313" s="3" t="s">
        <v>25</v>
      </c>
      <c r="I313" s="6">
        <v>44774</v>
      </c>
      <c r="J313" s="4">
        <v>0</v>
      </c>
      <c r="K313" s="4">
        <v>0</v>
      </c>
      <c r="L313" s="4">
        <v>0.13200000000000001</v>
      </c>
      <c r="M313" s="4">
        <v>0.13200000000000001</v>
      </c>
      <c r="N313" s="4">
        <v>0.13200000000000001</v>
      </c>
      <c r="O313" s="4">
        <v>0.13200000000000001</v>
      </c>
      <c r="P313" s="4">
        <v>0</v>
      </c>
      <c r="Q313" s="3" t="s">
        <v>26</v>
      </c>
      <c r="R313" s="3">
        <v>0</v>
      </c>
      <c r="S313" s="3" t="s">
        <v>199</v>
      </c>
      <c r="T313" s="3" t="s">
        <v>360</v>
      </c>
      <c r="U313" s="3">
        <v>0</v>
      </c>
      <c r="V313" s="3">
        <v>36</v>
      </c>
      <c r="W313" s="3">
        <v>86</v>
      </c>
    </row>
    <row r="314" spans="1:2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32</v>
      </c>
      <c r="F314" s="3" t="s">
        <v>25</v>
      </c>
      <c r="G314" s="3" t="s">
        <v>25</v>
      </c>
      <c r="H314" s="3" t="s">
        <v>25</v>
      </c>
      <c r="I314" s="6">
        <v>44440</v>
      </c>
      <c r="J314" s="4">
        <v>0</v>
      </c>
      <c r="K314" s="4">
        <v>0</v>
      </c>
      <c r="L314" s="4">
        <v>14.227</v>
      </c>
      <c r="M314" s="4">
        <v>14.227</v>
      </c>
      <c r="N314" s="4">
        <v>14.227</v>
      </c>
      <c r="O314" s="4">
        <v>14.227</v>
      </c>
      <c r="P314" s="4">
        <v>186</v>
      </c>
      <c r="Q314" s="3" t="s">
        <v>26</v>
      </c>
      <c r="R314" s="3">
        <v>0</v>
      </c>
      <c r="S314" s="3" t="s">
        <v>200</v>
      </c>
      <c r="T314" s="3" t="s">
        <v>361</v>
      </c>
      <c r="U314" s="3">
        <v>0</v>
      </c>
      <c r="V314" s="3">
        <v>52</v>
      </c>
      <c r="W314" s="3">
        <v>87</v>
      </c>
    </row>
    <row r="315" spans="1:2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32</v>
      </c>
      <c r="F315" s="3" t="s">
        <v>25</v>
      </c>
      <c r="G315" s="3" t="s">
        <v>25</v>
      </c>
      <c r="H315" s="3" t="s">
        <v>25</v>
      </c>
      <c r="I315" s="6">
        <v>44470</v>
      </c>
      <c r="J315" s="4">
        <v>0</v>
      </c>
      <c r="K315" s="4">
        <v>0</v>
      </c>
      <c r="L315" s="4">
        <v>13.89</v>
      </c>
      <c r="M315" s="4">
        <v>13.89</v>
      </c>
      <c r="N315" s="4">
        <v>13.89</v>
      </c>
      <c r="O315" s="4">
        <v>13.89</v>
      </c>
      <c r="P315" s="4">
        <v>173</v>
      </c>
      <c r="Q315" s="3" t="s">
        <v>26</v>
      </c>
      <c r="R315" s="3">
        <v>0</v>
      </c>
      <c r="S315" s="3" t="s">
        <v>201</v>
      </c>
      <c r="T315" s="3" t="s">
        <v>362</v>
      </c>
      <c r="U315" s="3">
        <v>0</v>
      </c>
      <c r="V315" s="3">
        <v>52</v>
      </c>
      <c r="W315" s="3">
        <v>87</v>
      </c>
    </row>
    <row r="316" spans="1:23" ht="11.25" customHeight="1" x14ac:dyDescent="0.25">
      <c r="A316" s="3" t="s">
        <v>27</v>
      </c>
      <c r="B316" s="3" t="s">
        <v>22</v>
      </c>
      <c r="C316" s="3" t="s">
        <v>23</v>
      </c>
      <c r="D316" s="3" t="s">
        <v>24</v>
      </c>
      <c r="E316" s="3" t="s">
        <v>32</v>
      </c>
      <c r="F316" s="3" t="s">
        <v>25</v>
      </c>
      <c r="G316" s="3" t="s">
        <v>25</v>
      </c>
      <c r="H316" s="3" t="s">
        <v>25</v>
      </c>
      <c r="I316" s="6">
        <v>44470</v>
      </c>
      <c r="J316" s="4">
        <v>0</v>
      </c>
      <c r="K316" s="4">
        <v>0</v>
      </c>
      <c r="L316" s="4">
        <v>-3.6999999999999998E-2</v>
      </c>
      <c r="M316" s="4">
        <v>-3.6999999999999998E-2</v>
      </c>
      <c r="N316" s="4">
        <v>-3.6999999999999998E-2</v>
      </c>
      <c r="O316" s="4">
        <v>-3.6999999999999998E-2</v>
      </c>
      <c r="P316" s="4">
        <v>0</v>
      </c>
      <c r="Q316" s="3" t="s">
        <v>26</v>
      </c>
      <c r="R316" s="3">
        <v>0</v>
      </c>
      <c r="S316" s="3" t="s">
        <v>201</v>
      </c>
      <c r="T316" s="3" t="s">
        <v>362</v>
      </c>
      <c r="U316" s="3">
        <v>0</v>
      </c>
      <c r="V316" s="3">
        <v>52</v>
      </c>
      <c r="W316" s="3">
        <v>87</v>
      </c>
    </row>
    <row r="317" spans="1:2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32</v>
      </c>
      <c r="F317" s="3" t="s">
        <v>25</v>
      </c>
      <c r="G317" s="3" t="s">
        <v>25</v>
      </c>
      <c r="H317" s="3" t="s">
        <v>25</v>
      </c>
      <c r="I317" s="6">
        <v>44501</v>
      </c>
      <c r="J317" s="4">
        <v>0</v>
      </c>
      <c r="K317" s="4">
        <v>0</v>
      </c>
      <c r="L317" s="4">
        <v>15.231999999999999</v>
      </c>
      <c r="M317" s="4">
        <v>15.231999999999999</v>
      </c>
      <c r="N317" s="4">
        <v>15.231999999999999</v>
      </c>
      <c r="O317" s="4">
        <v>15.231999999999999</v>
      </c>
      <c r="P317" s="4">
        <v>183</v>
      </c>
      <c r="Q317" s="3" t="s">
        <v>26</v>
      </c>
      <c r="R317" s="3">
        <v>0</v>
      </c>
      <c r="S317" s="3" t="s">
        <v>202</v>
      </c>
      <c r="T317" s="3" t="s">
        <v>363</v>
      </c>
      <c r="U317" s="3">
        <v>0</v>
      </c>
      <c r="V317" s="3">
        <v>52</v>
      </c>
      <c r="W317" s="3">
        <v>87</v>
      </c>
    </row>
    <row r="318" spans="1:23" ht="11.25" customHeight="1" x14ac:dyDescent="0.25">
      <c r="A318" s="3" t="s">
        <v>27</v>
      </c>
      <c r="B318" s="3" t="s">
        <v>22</v>
      </c>
      <c r="C318" s="3" t="s">
        <v>23</v>
      </c>
      <c r="D318" s="3" t="s">
        <v>24</v>
      </c>
      <c r="E318" s="3" t="s">
        <v>32</v>
      </c>
      <c r="F318" s="3" t="s">
        <v>25</v>
      </c>
      <c r="G318" s="3" t="s">
        <v>25</v>
      </c>
      <c r="H318" s="3" t="s">
        <v>25</v>
      </c>
      <c r="I318" s="6">
        <v>44501</v>
      </c>
      <c r="J318" s="4">
        <v>0</v>
      </c>
      <c r="K318" s="4">
        <v>0</v>
      </c>
      <c r="L318" s="4">
        <v>-1.2809999999999999</v>
      </c>
      <c r="M318" s="4">
        <v>-1.2809999999999999</v>
      </c>
      <c r="N318" s="4">
        <v>-1.2809999999999999</v>
      </c>
      <c r="O318" s="4">
        <v>-1.2809999999999999</v>
      </c>
      <c r="P318" s="4">
        <v>0</v>
      </c>
      <c r="Q318" s="3" t="s">
        <v>26</v>
      </c>
      <c r="R318" s="3">
        <v>0</v>
      </c>
      <c r="S318" s="3" t="s">
        <v>202</v>
      </c>
      <c r="T318" s="3" t="s">
        <v>363</v>
      </c>
      <c r="U318" s="3">
        <v>0</v>
      </c>
      <c r="V318" s="3">
        <v>52</v>
      </c>
      <c r="W318" s="3">
        <v>87</v>
      </c>
    </row>
    <row r="319" spans="1:2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32</v>
      </c>
      <c r="F319" s="3" t="s">
        <v>25</v>
      </c>
      <c r="G319" s="3" t="s">
        <v>25</v>
      </c>
      <c r="H319" s="3" t="s">
        <v>25</v>
      </c>
      <c r="I319" s="6">
        <v>44531</v>
      </c>
      <c r="J319" s="4">
        <v>0</v>
      </c>
      <c r="K319" s="4">
        <v>0</v>
      </c>
      <c r="L319" s="4">
        <v>17.779</v>
      </c>
      <c r="M319" s="4">
        <v>17.779</v>
      </c>
      <c r="N319" s="4">
        <v>17.779</v>
      </c>
      <c r="O319" s="4">
        <v>17.779</v>
      </c>
      <c r="P319" s="4">
        <v>207</v>
      </c>
      <c r="Q319" s="3" t="s">
        <v>26</v>
      </c>
      <c r="R319" s="3">
        <v>0</v>
      </c>
      <c r="S319" s="3" t="s">
        <v>203</v>
      </c>
      <c r="T319" s="3" t="s">
        <v>364</v>
      </c>
      <c r="U319" s="3">
        <v>0</v>
      </c>
      <c r="V319" s="3">
        <v>52</v>
      </c>
      <c r="W319" s="3">
        <v>87</v>
      </c>
    </row>
    <row r="320" spans="1:23" ht="11.25" customHeight="1" x14ac:dyDescent="0.25">
      <c r="A320" s="3" t="s">
        <v>27</v>
      </c>
      <c r="B320" s="3" t="s">
        <v>22</v>
      </c>
      <c r="C320" s="3" t="s">
        <v>23</v>
      </c>
      <c r="D320" s="3" t="s">
        <v>24</v>
      </c>
      <c r="E320" s="3" t="s">
        <v>32</v>
      </c>
      <c r="F320" s="3" t="s">
        <v>25</v>
      </c>
      <c r="G320" s="3" t="s">
        <v>25</v>
      </c>
      <c r="H320" s="3" t="s">
        <v>25</v>
      </c>
      <c r="I320" s="6">
        <v>44531</v>
      </c>
      <c r="J320" s="4">
        <v>0</v>
      </c>
      <c r="K320" s="4">
        <v>0</v>
      </c>
      <c r="L320" s="4">
        <v>-0.245</v>
      </c>
      <c r="M320" s="4">
        <v>-0.245</v>
      </c>
      <c r="N320" s="4">
        <v>-0.245</v>
      </c>
      <c r="O320" s="4">
        <v>-0.245</v>
      </c>
      <c r="P320" s="4">
        <v>0</v>
      </c>
      <c r="Q320" s="3" t="s">
        <v>26</v>
      </c>
      <c r="R320" s="3">
        <v>0</v>
      </c>
      <c r="S320" s="3" t="s">
        <v>203</v>
      </c>
      <c r="T320" s="3" t="s">
        <v>364</v>
      </c>
      <c r="U320" s="3">
        <v>0</v>
      </c>
      <c r="V320" s="3">
        <v>52</v>
      </c>
      <c r="W320" s="3">
        <v>87</v>
      </c>
    </row>
    <row r="321" spans="1:2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32</v>
      </c>
      <c r="F321" s="3" t="s">
        <v>25</v>
      </c>
      <c r="G321" s="3" t="s">
        <v>25</v>
      </c>
      <c r="H321" s="3" t="s">
        <v>25</v>
      </c>
      <c r="I321" s="6">
        <v>44562</v>
      </c>
      <c r="J321" s="4">
        <v>0</v>
      </c>
      <c r="K321" s="4">
        <v>0</v>
      </c>
      <c r="L321" s="4">
        <v>30.530999999999999</v>
      </c>
      <c r="M321" s="4">
        <v>30.530999999999999</v>
      </c>
      <c r="N321" s="4">
        <v>30.530999999999999</v>
      </c>
      <c r="O321" s="4">
        <v>30.530999999999999</v>
      </c>
      <c r="P321" s="4">
        <v>273</v>
      </c>
      <c r="Q321" s="3" t="s">
        <v>26</v>
      </c>
      <c r="R321" s="3">
        <v>0</v>
      </c>
      <c r="S321" s="3" t="s">
        <v>204</v>
      </c>
      <c r="T321" s="3" t="s">
        <v>365</v>
      </c>
      <c r="U321" s="3">
        <v>0</v>
      </c>
      <c r="V321" s="3">
        <v>52</v>
      </c>
      <c r="W321" s="3">
        <v>87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32</v>
      </c>
      <c r="F322" s="3" t="s">
        <v>25</v>
      </c>
      <c r="G322" s="3" t="s">
        <v>25</v>
      </c>
      <c r="H322" s="3" t="s">
        <v>25</v>
      </c>
      <c r="I322" s="6">
        <v>44593</v>
      </c>
      <c r="J322" s="4">
        <v>0</v>
      </c>
      <c r="K322" s="4">
        <v>0</v>
      </c>
      <c r="L322" s="4">
        <v>28.343</v>
      </c>
      <c r="M322" s="4">
        <v>28.343</v>
      </c>
      <c r="N322" s="4">
        <v>28.343</v>
      </c>
      <c r="O322" s="4">
        <v>28.343</v>
      </c>
      <c r="P322" s="4">
        <v>255</v>
      </c>
      <c r="Q322" s="3" t="s">
        <v>26</v>
      </c>
      <c r="R322" s="3">
        <v>0</v>
      </c>
      <c r="S322" s="3" t="s">
        <v>205</v>
      </c>
      <c r="T322" s="3" t="s">
        <v>366</v>
      </c>
      <c r="U322" s="3">
        <v>0</v>
      </c>
      <c r="V322" s="3">
        <v>52</v>
      </c>
      <c r="W322" s="3">
        <v>87</v>
      </c>
    </row>
    <row r="323" spans="1:2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32</v>
      </c>
      <c r="F323" s="3" t="s">
        <v>25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24.643999999999998</v>
      </c>
      <c r="M323" s="4">
        <v>24.643999999999998</v>
      </c>
      <c r="N323" s="4">
        <v>24.643999999999998</v>
      </c>
      <c r="O323" s="4">
        <v>24.643999999999998</v>
      </c>
      <c r="P323" s="4">
        <v>239</v>
      </c>
      <c r="Q323" s="3" t="s">
        <v>26</v>
      </c>
      <c r="R323" s="3">
        <v>0</v>
      </c>
      <c r="S323" s="3" t="s">
        <v>206</v>
      </c>
      <c r="T323" s="3" t="s">
        <v>367</v>
      </c>
      <c r="U323" s="3">
        <v>0</v>
      </c>
      <c r="V323" s="3">
        <v>52</v>
      </c>
      <c r="W323" s="3">
        <v>87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32</v>
      </c>
      <c r="F324" s="3" t="s">
        <v>25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19.66</v>
      </c>
      <c r="M324" s="4">
        <v>19.66</v>
      </c>
      <c r="N324" s="4">
        <v>19.66</v>
      </c>
      <c r="O324" s="4">
        <v>19.66</v>
      </c>
      <c r="P324" s="4">
        <v>225</v>
      </c>
      <c r="Q324" s="3" t="s">
        <v>26</v>
      </c>
      <c r="R324" s="3">
        <v>0</v>
      </c>
      <c r="S324" s="3" t="s">
        <v>207</v>
      </c>
      <c r="T324" s="3" t="s">
        <v>368</v>
      </c>
      <c r="U324" s="3">
        <v>0</v>
      </c>
      <c r="V324" s="3">
        <v>52</v>
      </c>
      <c r="W324" s="3">
        <v>87</v>
      </c>
    </row>
    <row r="325" spans="1:2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32</v>
      </c>
      <c r="F325" s="3" t="s">
        <v>25</v>
      </c>
      <c r="G325" s="3" t="s">
        <v>25</v>
      </c>
      <c r="H325" s="3" t="s">
        <v>25</v>
      </c>
      <c r="I325" s="6">
        <v>44682</v>
      </c>
      <c r="J325" s="4">
        <v>0</v>
      </c>
      <c r="K325" s="4">
        <v>0</v>
      </c>
      <c r="L325" s="4">
        <v>13.004</v>
      </c>
      <c r="M325" s="4">
        <v>13.004</v>
      </c>
      <c r="N325" s="4">
        <v>13.004</v>
      </c>
      <c r="O325" s="4">
        <v>13.004</v>
      </c>
      <c r="P325" s="4">
        <v>186</v>
      </c>
      <c r="Q325" s="3" t="s">
        <v>26</v>
      </c>
      <c r="R325" s="3">
        <v>0</v>
      </c>
      <c r="S325" s="3" t="s">
        <v>208</v>
      </c>
      <c r="T325" s="3" t="s">
        <v>369</v>
      </c>
      <c r="U325" s="3">
        <v>0</v>
      </c>
      <c r="V325" s="3">
        <v>52</v>
      </c>
      <c r="W325" s="3">
        <v>87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32</v>
      </c>
      <c r="F326" s="3" t="s">
        <v>25</v>
      </c>
      <c r="G326" s="3" t="s">
        <v>25</v>
      </c>
      <c r="H326" s="3" t="s">
        <v>25</v>
      </c>
      <c r="I326" s="6">
        <v>44713</v>
      </c>
      <c r="J326" s="4">
        <v>0</v>
      </c>
      <c r="K326" s="4">
        <v>0</v>
      </c>
      <c r="L326" s="4">
        <v>18.523</v>
      </c>
      <c r="M326" s="4">
        <v>18.523</v>
      </c>
      <c r="N326" s="4">
        <v>18.523</v>
      </c>
      <c r="O326" s="4">
        <v>18.523</v>
      </c>
      <c r="P326" s="4">
        <v>197</v>
      </c>
      <c r="Q326" s="3" t="s">
        <v>26</v>
      </c>
      <c r="R326" s="3">
        <v>0</v>
      </c>
      <c r="S326" s="3" t="s">
        <v>209</v>
      </c>
      <c r="T326" s="3" t="s">
        <v>370</v>
      </c>
      <c r="U326" s="3">
        <v>0</v>
      </c>
      <c r="V326" s="3">
        <v>52</v>
      </c>
      <c r="W326" s="3">
        <v>87</v>
      </c>
    </row>
    <row r="327" spans="1:23" ht="11.25" customHeight="1" x14ac:dyDescent="0.25">
      <c r="A327" s="3" t="s">
        <v>27</v>
      </c>
      <c r="B327" s="3" t="s">
        <v>22</v>
      </c>
      <c r="C327" s="3" t="s">
        <v>23</v>
      </c>
      <c r="D327" s="3" t="s">
        <v>24</v>
      </c>
      <c r="E327" s="3" t="s">
        <v>32</v>
      </c>
      <c r="F327" s="3" t="s">
        <v>25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0.309</v>
      </c>
      <c r="M327" s="4">
        <v>0.309</v>
      </c>
      <c r="N327" s="4">
        <v>0.309</v>
      </c>
      <c r="O327" s="4">
        <v>0.309</v>
      </c>
      <c r="P327" s="4">
        <v>0</v>
      </c>
      <c r="Q327" s="3" t="s">
        <v>26</v>
      </c>
      <c r="R327" s="3">
        <v>0</v>
      </c>
      <c r="S327" s="3" t="s">
        <v>209</v>
      </c>
      <c r="T327" s="3" t="s">
        <v>370</v>
      </c>
      <c r="U327" s="3">
        <v>0</v>
      </c>
      <c r="V327" s="3">
        <v>52</v>
      </c>
      <c r="W327" s="3">
        <v>87</v>
      </c>
    </row>
    <row r="328" spans="1:2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32</v>
      </c>
      <c r="F328" s="3" t="s">
        <v>25</v>
      </c>
      <c r="G328" s="3" t="s">
        <v>25</v>
      </c>
      <c r="H328" s="3" t="s">
        <v>25</v>
      </c>
      <c r="I328" s="6">
        <v>44743</v>
      </c>
      <c r="J328" s="4">
        <v>0</v>
      </c>
      <c r="K328" s="4">
        <v>0</v>
      </c>
      <c r="L328" s="4">
        <v>18.992000000000001</v>
      </c>
      <c r="M328" s="4">
        <v>18.992000000000001</v>
      </c>
      <c r="N328" s="4">
        <v>18.992000000000001</v>
      </c>
      <c r="O328" s="4">
        <v>18.992000000000001</v>
      </c>
      <c r="P328" s="4">
        <v>189</v>
      </c>
      <c r="Q328" s="3" t="s">
        <v>26</v>
      </c>
      <c r="R328" s="3">
        <v>0</v>
      </c>
      <c r="S328" s="3" t="s">
        <v>210</v>
      </c>
      <c r="T328" s="3" t="s">
        <v>371</v>
      </c>
      <c r="U328" s="3">
        <v>0</v>
      </c>
      <c r="V328" s="3">
        <v>52</v>
      </c>
      <c r="W328" s="3">
        <v>87</v>
      </c>
    </row>
    <row r="329" spans="1:23" ht="11.25" customHeight="1" x14ac:dyDescent="0.25">
      <c r="A329" s="3" t="s">
        <v>27</v>
      </c>
      <c r="B329" s="3" t="s">
        <v>22</v>
      </c>
      <c r="C329" s="3" t="s">
        <v>23</v>
      </c>
      <c r="D329" s="3" t="s">
        <v>24</v>
      </c>
      <c r="E329" s="3" t="s">
        <v>32</v>
      </c>
      <c r="F329" s="3" t="s">
        <v>25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0.313</v>
      </c>
      <c r="M329" s="4">
        <v>0.313</v>
      </c>
      <c r="N329" s="4">
        <v>0.313</v>
      </c>
      <c r="O329" s="4">
        <v>0.313</v>
      </c>
      <c r="P329" s="4">
        <v>0</v>
      </c>
      <c r="Q329" s="3" t="s">
        <v>26</v>
      </c>
      <c r="R329" s="3">
        <v>0</v>
      </c>
      <c r="S329" s="3" t="s">
        <v>210</v>
      </c>
      <c r="T329" s="3" t="s">
        <v>371</v>
      </c>
      <c r="U329" s="3">
        <v>0</v>
      </c>
      <c r="V329" s="3">
        <v>52</v>
      </c>
      <c r="W329" s="3">
        <v>87</v>
      </c>
    </row>
    <row r="330" spans="1:23" ht="11.25" customHeight="1" x14ac:dyDescent="0.25">
      <c r="A330" s="3" t="s">
        <v>55</v>
      </c>
      <c r="B330" s="3" t="s">
        <v>22</v>
      </c>
      <c r="C330" s="3" t="s">
        <v>23</v>
      </c>
      <c r="D330" s="3" t="s">
        <v>24</v>
      </c>
      <c r="E330" s="3" t="s">
        <v>32</v>
      </c>
      <c r="F330" s="3" t="s">
        <v>25</v>
      </c>
      <c r="G330" s="3" t="s">
        <v>25</v>
      </c>
      <c r="H330" s="3" t="s">
        <v>25</v>
      </c>
      <c r="I330" s="6">
        <v>44774</v>
      </c>
      <c r="J330" s="4">
        <v>0</v>
      </c>
      <c r="K330" s="4">
        <v>0</v>
      </c>
      <c r="L330" s="4">
        <v>18.992000000000001</v>
      </c>
      <c r="M330" s="4">
        <v>18.992000000000001</v>
      </c>
      <c r="N330" s="4">
        <v>18.992000000000001</v>
      </c>
      <c r="O330" s="4">
        <v>18.992000000000001</v>
      </c>
      <c r="P330" s="4">
        <v>189</v>
      </c>
      <c r="Q330" s="3" t="s">
        <v>26</v>
      </c>
      <c r="R330" s="3">
        <v>0</v>
      </c>
      <c r="S330" s="3" t="s">
        <v>211</v>
      </c>
      <c r="T330" s="3" t="s">
        <v>372</v>
      </c>
      <c r="U330" s="3">
        <v>0</v>
      </c>
      <c r="V330" s="3">
        <v>52</v>
      </c>
      <c r="W330" s="3">
        <v>87</v>
      </c>
    </row>
    <row r="331" spans="1:23" ht="11.25" customHeight="1" x14ac:dyDescent="0.25">
      <c r="A331" s="3" t="s">
        <v>55</v>
      </c>
      <c r="B331" s="3" t="s">
        <v>22</v>
      </c>
      <c r="C331" s="3" t="s">
        <v>23</v>
      </c>
      <c r="D331" s="3" t="s">
        <v>24</v>
      </c>
      <c r="E331" s="3" t="s">
        <v>32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0.313</v>
      </c>
      <c r="M331" s="4">
        <v>0.313</v>
      </c>
      <c r="N331" s="4">
        <v>0.313</v>
      </c>
      <c r="O331" s="4">
        <v>0.313</v>
      </c>
      <c r="P331" s="4">
        <v>0</v>
      </c>
      <c r="Q331" s="3" t="s">
        <v>26</v>
      </c>
      <c r="R331" s="3">
        <v>0</v>
      </c>
      <c r="S331" s="3" t="s">
        <v>211</v>
      </c>
      <c r="T331" s="3" t="s">
        <v>372</v>
      </c>
      <c r="U331" s="3">
        <v>0</v>
      </c>
      <c r="V331" s="3">
        <v>52</v>
      </c>
      <c r="W331" s="3">
        <v>87</v>
      </c>
    </row>
    <row r="332" spans="1:23" ht="11.25" customHeight="1" x14ac:dyDescent="0.25">
      <c r="A332" s="3" t="s">
        <v>21</v>
      </c>
      <c r="B332" s="3" t="s">
        <v>43</v>
      </c>
      <c r="C332" s="3" t="s">
        <v>23</v>
      </c>
      <c r="D332" s="3" t="s">
        <v>44</v>
      </c>
      <c r="E332" s="3" t="s">
        <v>52</v>
      </c>
      <c r="F332" s="3" t="s">
        <v>53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0.94</v>
      </c>
      <c r="M332" s="4">
        <v>0.94</v>
      </c>
      <c r="N332" s="4">
        <v>0.94</v>
      </c>
      <c r="O332" s="4">
        <v>0.94</v>
      </c>
      <c r="P332" s="4">
        <v>0</v>
      </c>
      <c r="Q332" s="3" t="s">
        <v>26</v>
      </c>
      <c r="R332" s="3">
        <v>0</v>
      </c>
      <c r="S332" s="3" t="s">
        <v>212</v>
      </c>
      <c r="T332" s="3" t="s">
        <v>373</v>
      </c>
      <c r="U332" s="3">
        <v>0</v>
      </c>
      <c r="V332" s="3">
        <v>55</v>
      </c>
      <c r="W332" s="3">
        <v>20</v>
      </c>
    </row>
    <row r="333" spans="1:23" ht="11.25" customHeight="1" x14ac:dyDescent="0.25">
      <c r="A333" s="3" t="s">
        <v>21</v>
      </c>
      <c r="B333" s="3" t="s">
        <v>43</v>
      </c>
      <c r="C333" s="3" t="s">
        <v>23</v>
      </c>
      <c r="D333" s="3" t="s">
        <v>44</v>
      </c>
      <c r="E333" s="3" t="s">
        <v>52</v>
      </c>
      <c r="F333" s="3" t="s">
        <v>53</v>
      </c>
      <c r="G333" s="3" t="s">
        <v>25</v>
      </c>
      <c r="H333" s="3" t="s">
        <v>25</v>
      </c>
      <c r="I333" s="6">
        <v>44470</v>
      </c>
      <c r="J333" s="4">
        <v>0</v>
      </c>
      <c r="K333" s="4">
        <v>0</v>
      </c>
      <c r="L333" s="4">
        <v>1.0900000000000001</v>
      </c>
      <c r="M333" s="4">
        <v>1.0900000000000001</v>
      </c>
      <c r="N333" s="4">
        <v>1.0900000000000001</v>
      </c>
      <c r="O333" s="4">
        <v>1.0900000000000001</v>
      </c>
      <c r="P333" s="4">
        <v>0</v>
      </c>
      <c r="Q333" s="3" t="s">
        <v>26</v>
      </c>
      <c r="R333" s="3">
        <v>0</v>
      </c>
      <c r="S333" s="3" t="s">
        <v>213</v>
      </c>
      <c r="T333" s="3" t="s">
        <v>374</v>
      </c>
      <c r="U333" s="3">
        <v>0</v>
      </c>
      <c r="V333" s="3">
        <v>55</v>
      </c>
      <c r="W333" s="3">
        <v>20</v>
      </c>
    </row>
    <row r="334" spans="1:23" ht="11.25" customHeight="1" x14ac:dyDescent="0.25">
      <c r="A334" s="3" t="s">
        <v>21</v>
      </c>
      <c r="B334" s="3" t="s">
        <v>43</v>
      </c>
      <c r="C334" s="3" t="s">
        <v>23</v>
      </c>
      <c r="D334" s="3" t="s">
        <v>44</v>
      </c>
      <c r="E334" s="3" t="s">
        <v>52</v>
      </c>
      <c r="F334" s="3" t="s">
        <v>53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2.355</v>
      </c>
      <c r="M334" s="4">
        <v>2.355</v>
      </c>
      <c r="N334" s="4">
        <v>2.355</v>
      </c>
      <c r="O334" s="4">
        <v>2.355</v>
      </c>
      <c r="P334" s="4">
        <v>0</v>
      </c>
      <c r="Q334" s="3" t="s">
        <v>26</v>
      </c>
      <c r="R334" s="3">
        <v>0</v>
      </c>
      <c r="S334" s="3" t="s">
        <v>214</v>
      </c>
      <c r="T334" s="3" t="s">
        <v>375</v>
      </c>
      <c r="U334" s="3">
        <v>0</v>
      </c>
      <c r="V334" s="3">
        <v>55</v>
      </c>
      <c r="W334" s="3">
        <v>20</v>
      </c>
    </row>
    <row r="335" spans="1:23" ht="11.25" customHeight="1" x14ac:dyDescent="0.25">
      <c r="A335" s="3" t="s">
        <v>21</v>
      </c>
      <c r="B335" s="3" t="s">
        <v>43</v>
      </c>
      <c r="C335" s="3" t="s">
        <v>23</v>
      </c>
      <c r="D335" s="3" t="s">
        <v>44</v>
      </c>
      <c r="E335" s="3" t="s">
        <v>52</v>
      </c>
      <c r="F335" s="3" t="s">
        <v>53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3.3730000000000002</v>
      </c>
      <c r="M335" s="4">
        <v>3.3730000000000002</v>
      </c>
      <c r="N335" s="4">
        <v>3.3730000000000002</v>
      </c>
      <c r="O335" s="4">
        <v>3.3730000000000002</v>
      </c>
      <c r="P335" s="4">
        <v>0</v>
      </c>
      <c r="Q335" s="3" t="s">
        <v>26</v>
      </c>
      <c r="R335" s="3">
        <v>0</v>
      </c>
      <c r="S335" s="3" t="s">
        <v>215</v>
      </c>
      <c r="T335" s="3" t="s">
        <v>376</v>
      </c>
      <c r="U335" s="3">
        <v>0</v>
      </c>
      <c r="V335" s="3">
        <v>55</v>
      </c>
      <c r="W335" s="3">
        <v>20</v>
      </c>
    </row>
    <row r="336" spans="1:23" ht="11.25" customHeight="1" x14ac:dyDescent="0.25">
      <c r="A336" s="3" t="s">
        <v>21</v>
      </c>
      <c r="B336" s="3" t="s">
        <v>43</v>
      </c>
      <c r="C336" s="3" t="s">
        <v>23</v>
      </c>
      <c r="D336" s="3" t="s">
        <v>44</v>
      </c>
      <c r="E336" s="3" t="s">
        <v>52</v>
      </c>
      <c r="F336" s="3" t="s">
        <v>53</v>
      </c>
      <c r="G336" s="3" t="s">
        <v>25</v>
      </c>
      <c r="H336" s="3" t="s">
        <v>25</v>
      </c>
      <c r="I336" s="6">
        <v>44562</v>
      </c>
      <c r="J336" s="4">
        <v>0</v>
      </c>
      <c r="K336" s="4">
        <v>0</v>
      </c>
      <c r="L336" s="4">
        <v>2.536</v>
      </c>
      <c r="M336" s="4">
        <v>2.536</v>
      </c>
      <c r="N336" s="4">
        <v>2.536</v>
      </c>
      <c r="O336" s="4">
        <v>2.536</v>
      </c>
      <c r="P336" s="4">
        <v>0</v>
      </c>
      <c r="Q336" s="3" t="s">
        <v>26</v>
      </c>
      <c r="R336" s="3">
        <v>0</v>
      </c>
      <c r="S336" s="3" t="s">
        <v>216</v>
      </c>
      <c r="T336" s="3" t="s">
        <v>377</v>
      </c>
      <c r="U336" s="3">
        <v>0</v>
      </c>
      <c r="V336" s="3">
        <v>55</v>
      </c>
      <c r="W336" s="3">
        <v>20</v>
      </c>
    </row>
    <row r="337" spans="1:23" ht="11.25" customHeight="1" x14ac:dyDescent="0.25">
      <c r="A337" s="3" t="s">
        <v>21</v>
      </c>
      <c r="B337" s="3" t="s">
        <v>43</v>
      </c>
      <c r="C337" s="3" t="s">
        <v>23</v>
      </c>
      <c r="D337" s="3" t="s">
        <v>44</v>
      </c>
      <c r="E337" s="3" t="s">
        <v>52</v>
      </c>
      <c r="F337" s="3" t="s">
        <v>53</v>
      </c>
      <c r="G337" s="3" t="s">
        <v>25</v>
      </c>
      <c r="H337" s="3" t="s">
        <v>25</v>
      </c>
      <c r="I337" s="6">
        <v>44593</v>
      </c>
      <c r="J337" s="4">
        <v>0</v>
      </c>
      <c r="K337" s="4">
        <v>0</v>
      </c>
      <c r="L337" s="4">
        <v>3.2069999999999999</v>
      </c>
      <c r="M337" s="4">
        <v>3.2069999999999999</v>
      </c>
      <c r="N337" s="4">
        <v>3.2069999999999999</v>
      </c>
      <c r="O337" s="4">
        <v>3.2069999999999999</v>
      </c>
      <c r="P337" s="4">
        <v>0</v>
      </c>
      <c r="Q337" s="3" t="s">
        <v>26</v>
      </c>
      <c r="R337" s="3">
        <v>0</v>
      </c>
      <c r="S337" s="3" t="s">
        <v>217</v>
      </c>
      <c r="T337" s="3" t="s">
        <v>378</v>
      </c>
      <c r="U337" s="3">
        <v>0</v>
      </c>
      <c r="V337" s="3">
        <v>55</v>
      </c>
      <c r="W337" s="3">
        <v>20</v>
      </c>
    </row>
    <row r="338" spans="1:23" ht="11.25" customHeight="1" x14ac:dyDescent="0.25">
      <c r="A338" s="3" t="s">
        <v>21</v>
      </c>
      <c r="B338" s="3" t="s">
        <v>43</v>
      </c>
      <c r="C338" s="3" t="s">
        <v>23</v>
      </c>
      <c r="D338" s="3" t="s">
        <v>44</v>
      </c>
      <c r="E338" s="3" t="s">
        <v>52</v>
      </c>
      <c r="F338" s="3" t="s">
        <v>53</v>
      </c>
      <c r="G338" s="3" t="s">
        <v>25</v>
      </c>
      <c r="H338" s="3" t="s">
        <v>25</v>
      </c>
      <c r="I338" s="6">
        <v>44621</v>
      </c>
      <c r="J338" s="4">
        <v>0</v>
      </c>
      <c r="K338" s="4">
        <v>0</v>
      </c>
      <c r="L338" s="4">
        <v>8.2249999999999996</v>
      </c>
      <c r="M338" s="4">
        <v>8.2249999999999996</v>
      </c>
      <c r="N338" s="4">
        <v>8.2249999999999996</v>
      </c>
      <c r="O338" s="4">
        <v>8.2249999999999996</v>
      </c>
      <c r="P338" s="4">
        <v>0</v>
      </c>
      <c r="Q338" s="3" t="s">
        <v>26</v>
      </c>
      <c r="R338" s="3">
        <v>0</v>
      </c>
      <c r="S338" s="3" t="s">
        <v>218</v>
      </c>
      <c r="T338" s="3" t="s">
        <v>379</v>
      </c>
      <c r="U338" s="3">
        <v>0</v>
      </c>
      <c r="V338" s="3">
        <v>55</v>
      </c>
      <c r="W338" s="3">
        <v>20</v>
      </c>
    </row>
    <row r="339" spans="1:23" ht="11.25" customHeight="1" x14ac:dyDescent="0.25">
      <c r="A339" s="3" t="s">
        <v>21</v>
      </c>
      <c r="B339" s="3" t="s">
        <v>43</v>
      </c>
      <c r="C339" s="3" t="s">
        <v>23</v>
      </c>
      <c r="D339" s="3" t="s">
        <v>44</v>
      </c>
      <c r="E339" s="3" t="s">
        <v>52</v>
      </c>
      <c r="F339" s="3" t="s">
        <v>53</v>
      </c>
      <c r="G339" s="3" t="s">
        <v>25</v>
      </c>
      <c r="H339" s="3" t="s">
        <v>25</v>
      </c>
      <c r="I339" s="6">
        <v>44652</v>
      </c>
      <c r="J339" s="4">
        <v>0</v>
      </c>
      <c r="K339" s="4">
        <v>0</v>
      </c>
      <c r="L339" s="4">
        <v>2.2810000000000001</v>
      </c>
      <c r="M339" s="4">
        <v>2.2810000000000001</v>
      </c>
      <c r="N339" s="4">
        <v>2.2810000000000001</v>
      </c>
      <c r="O339" s="4">
        <v>2.2810000000000001</v>
      </c>
      <c r="P339" s="4">
        <v>0</v>
      </c>
      <c r="Q339" s="3" t="s">
        <v>26</v>
      </c>
      <c r="R339" s="3">
        <v>0</v>
      </c>
      <c r="S339" s="3" t="s">
        <v>219</v>
      </c>
      <c r="T339" s="3" t="s">
        <v>380</v>
      </c>
      <c r="U339" s="3">
        <v>0</v>
      </c>
      <c r="V339" s="3">
        <v>55</v>
      </c>
      <c r="W339" s="3">
        <v>20</v>
      </c>
    </row>
    <row r="340" spans="1:23" ht="11.25" customHeight="1" x14ac:dyDescent="0.25">
      <c r="A340" s="3" t="s">
        <v>27</v>
      </c>
      <c r="B340" s="3" t="s">
        <v>43</v>
      </c>
      <c r="C340" s="3" t="s">
        <v>23</v>
      </c>
      <c r="D340" s="3" t="s">
        <v>44</v>
      </c>
      <c r="E340" s="3" t="s">
        <v>52</v>
      </c>
      <c r="F340" s="3" t="s">
        <v>53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-5.9180000000000001</v>
      </c>
      <c r="M340" s="4">
        <v>-5.9180000000000001</v>
      </c>
      <c r="N340" s="4">
        <v>-5.9180000000000001</v>
      </c>
      <c r="O340" s="4">
        <v>-5.9180000000000001</v>
      </c>
      <c r="P340" s="4">
        <v>0</v>
      </c>
      <c r="Q340" s="3" t="s">
        <v>26</v>
      </c>
      <c r="R340" s="3">
        <v>0</v>
      </c>
      <c r="S340" s="3" t="s">
        <v>219</v>
      </c>
      <c r="T340" s="3" t="s">
        <v>380</v>
      </c>
      <c r="U340" s="3">
        <v>0</v>
      </c>
      <c r="V340" s="3">
        <v>55</v>
      </c>
      <c r="W340" s="3">
        <v>20</v>
      </c>
    </row>
    <row r="341" spans="1:23" ht="11.25" customHeight="1" x14ac:dyDescent="0.25">
      <c r="A341" s="3" t="s">
        <v>21</v>
      </c>
      <c r="B341" s="3" t="s">
        <v>43</v>
      </c>
      <c r="C341" s="3" t="s">
        <v>23</v>
      </c>
      <c r="D341" s="3" t="s">
        <v>44</v>
      </c>
      <c r="E341" s="3" t="s">
        <v>52</v>
      </c>
      <c r="F341" s="3" t="s">
        <v>53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1.6259999999999999</v>
      </c>
      <c r="M341" s="4">
        <v>1.6259999999999999</v>
      </c>
      <c r="N341" s="4">
        <v>1.6259999999999999</v>
      </c>
      <c r="O341" s="4">
        <v>1.6259999999999999</v>
      </c>
      <c r="P341" s="4">
        <v>0</v>
      </c>
      <c r="Q341" s="3" t="s">
        <v>26</v>
      </c>
      <c r="R341" s="3">
        <v>0</v>
      </c>
      <c r="S341" s="3" t="s">
        <v>220</v>
      </c>
      <c r="T341" s="3" t="s">
        <v>381</v>
      </c>
      <c r="U341" s="3">
        <v>0</v>
      </c>
      <c r="V341" s="3">
        <v>55</v>
      </c>
      <c r="W341" s="3">
        <v>20</v>
      </c>
    </row>
    <row r="342" spans="1:23" ht="11.25" customHeight="1" x14ac:dyDescent="0.25">
      <c r="A342" s="3" t="s">
        <v>21</v>
      </c>
      <c r="B342" s="3" t="s">
        <v>43</v>
      </c>
      <c r="C342" s="3" t="s">
        <v>23</v>
      </c>
      <c r="D342" s="3" t="s">
        <v>44</v>
      </c>
      <c r="E342" s="3" t="s">
        <v>52</v>
      </c>
      <c r="F342" s="3" t="s">
        <v>53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1.764</v>
      </c>
      <c r="M342" s="4">
        <v>1.764</v>
      </c>
      <c r="N342" s="4">
        <v>1.764</v>
      </c>
      <c r="O342" s="4">
        <v>1.764</v>
      </c>
      <c r="P342" s="4">
        <v>0</v>
      </c>
      <c r="Q342" s="3" t="s">
        <v>26</v>
      </c>
      <c r="R342" s="3">
        <v>0</v>
      </c>
      <c r="S342" s="3" t="s">
        <v>221</v>
      </c>
      <c r="T342" s="3" t="s">
        <v>382</v>
      </c>
      <c r="U342" s="3">
        <v>0</v>
      </c>
      <c r="V342" s="3">
        <v>55</v>
      </c>
      <c r="W342" s="3">
        <v>20</v>
      </c>
    </row>
    <row r="343" spans="1:23" ht="11.25" customHeight="1" x14ac:dyDescent="0.25">
      <c r="A343" s="3" t="s">
        <v>21</v>
      </c>
      <c r="B343" s="3" t="s">
        <v>43</v>
      </c>
      <c r="C343" s="3" t="s">
        <v>23</v>
      </c>
      <c r="D343" s="3" t="s">
        <v>44</v>
      </c>
      <c r="E343" s="3" t="s">
        <v>52</v>
      </c>
      <c r="F343" s="3" t="s">
        <v>53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1.83</v>
      </c>
      <c r="M343" s="4">
        <v>1.83</v>
      </c>
      <c r="N343" s="4">
        <v>1.83</v>
      </c>
      <c r="O343" s="4">
        <v>1.83</v>
      </c>
      <c r="P343" s="4">
        <v>0</v>
      </c>
      <c r="Q343" s="3" t="s">
        <v>26</v>
      </c>
      <c r="R343" s="3">
        <v>0</v>
      </c>
      <c r="S343" s="3" t="s">
        <v>222</v>
      </c>
      <c r="T343" s="3" t="s">
        <v>383</v>
      </c>
      <c r="U343" s="3">
        <v>0</v>
      </c>
      <c r="V343" s="3">
        <v>55</v>
      </c>
      <c r="W343" s="3">
        <v>20</v>
      </c>
    </row>
    <row r="344" spans="1:23" ht="11.25" customHeight="1" x14ac:dyDescent="0.25">
      <c r="A344" s="3" t="s">
        <v>55</v>
      </c>
      <c r="B344" s="3" t="s">
        <v>43</v>
      </c>
      <c r="C344" s="3" t="s">
        <v>23</v>
      </c>
      <c r="D344" s="3" t="s">
        <v>44</v>
      </c>
      <c r="E344" s="3" t="s">
        <v>52</v>
      </c>
      <c r="F344" s="3" t="s">
        <v>53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1.83</v>
      </c>
      <c r="M344" s="4">
        <v>1.83</v>
      </c>
      <c r="N344" s="4">
        <v>1.83</v>
      </c>
      <c r="O344" s="4">
        <v>1.83</v>
      </c>
      <c r="P344" s="4">
        <v>0</v>
      </c>
      <c r="Q344" s="3" t="s">
        <v>26</v>
      </c>
      <c r="R344" s="3">
        <v>0</v>
      </c>
      <c r="S344" s="3" t="s">
        <v>223</v>
      </c>
      <c r="T344" s="3" t="s">
        <v>384</v>
      </c>
      <c r="U344" s="3">
        <v>0</v>
      </c>
      <c r="V344" s="3">
        <v>55</v>
      </c>
      <c r="W344" s="3">
        <v>20</v>
      </c>
    </row>
    <row r="345" spans="1:2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52</v>
      </c>
      <c r="F345" s="3" t="s">
        <v>54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0.66600000000000004</v>
      </c>
      <c r="M345" s="4">
        <v>0.26640000000000003</v>
      </c>
      <c r="N345" s="4">
        <v>0.66600000000000004</v>
      </c>
      <c r="O345" s="4">
        <v>0.26640000000000003</v>
      </c>
      <c r="P345" s="4">
        <v>0</v>
      </c>
      <c r="Q345" s="3" t="s">
        <v>26</v>
      </c>
      <c r="R345" s="3">
        <v>0</v>
      </c>
      <c r="S345" s="3" t="s">
        <v>212</v>
      </c>
      <c r="T345" s="3" t="s">
        <v>373</v>
      </c>
      <c r="U345" s="3">
        <v>0</v>
      </c>
      <c r="V345" s="3">
        <v>55</v>
      </c>
      <c r="W345" s="3">
        <v>20</v>
      </c>
    </row>
    <row r="346" spans="1:23" ht="11.25" customHeight="1" x14ac:dyDescent="0.25">
      <c r="A346" s="3" t="s">
        <v>21</v>
      </c>
      <c r="B346" s="3" t="s">
        <v>43</v>
      </c>
      <c r="C346" s="3" t="s">
        <v>23</v>
      </c>
      <c r="D346" s="3" t="s">
        <v>44</v>
      </c>
      <c r="E346" s="3" t="s">
        <v>52</v>
      </c>
      <c r="F346" s="3" t="s">
        <v>54</v>
      </c>
      <c r="G346" s="3" t="s">
        <v>25</v>
      </c>
      <c r="H346" s="3" t="s">
        <v>25</v>
      </c>
      <c r="I346" s="6">
        <v>44470</v>
      </c>
      <c r="J346" s="4">
        <v>0</v>
      </c>
      <c r="K346" s="4">
        <v>0</v>
      </c>
      <c r="L346" s="4">
        <v>0.73</v>
      </c>
      <c r="M346" s="4">
        <v>0.29199999999999998</v>
      </c>
      <c r="N346" s="4">
        <v>0.73</v>
      </c>
      <c r="O346" s="4">
        <v>0.29199999999999998</v>
      </c>
      <c r="P346" s="4">
        <v>0</v>
      </c>
      <c r="Q346" s="3" t="s">
        <v>26</v>
      </c>
      <c r="R346" s="3">
        <v>0</v>
      </c>
      <c r="S346" s="3" t="s">
        <v>213</v>
      </c>
      <c r="T346" s="3" t="s">
        <v>374</v>
      </c>
      <c r="U346" s="3">
        <v>0</v>
      </c>
      <c r="V346" s="3">
        <v>55</v>
      </c>
      <c r="W346" s="3">
        <v>20</v>
      </c>
    </row>
    <row r="347" spans="1:23" ht="11.25" customHeight="1" x14ac:dyDescent="0.25">
      <c r="A347" s="3" t="s">
        <v>21</v>
      </c>
      <c r="B347" s="3" t="s">
        <v>43</v>
      </c>
      <c r="C347" s="3" t="s">
        <v>23</v>
      </c>
      <c r="D347" s="3" t="s">
        <v>44</v>
      </c>
      <c r="E347" s="3" t="s">
        <v>52</v>
      </c>
      <c r="F347" s="3" t="s">
        <v>54</v>
      </c>
      <c r="G347" s="3" t="s">
        <v>25</v>
      </c>
      <c r="H347" s="3" t="s">
        <v>25</v>
      </c>
      <c r="I347" s="6">
        <v>44501</v>
      </c>
      <c r="J347" s="4">
        <v>0</v>
      </c>
      <c r="K347" s="4">
        <v>0</v>
      </c>
      <c r="L347" s="4">
        <v>1.7170000000000001</v>
      </c>
      <c r="M347" s="4">
        <v>0.68679999999999997</v>
      </c>
      <c r="N347" s="4">
        <v>1.7170000000000001</v>
      </c>
      <c r="O347" s="4">
        <v>0.68679999999999997</v>
      </c>
      <c r="P347" s="4">
        <v>0</v>
      </c>
      <c r="Q347" s="3" t="s">
        <v>26</v>
      </c>
      <c r="R347" s="3">
        <v>0</v>
      </c>
      <c r="S347" s="3" t="s">
        <v>214</v>
      </c>
      <c r="T347" s="3" t="s">
        <v>375</v>
      </c>
      <c r="U347" s="3">
        <v>0</v>
      </c>
      <c r="V347" s="3">
        <v>55</v>
      </c>
      <c r="W347" s="3">
        <v>20</v>
      </c>
    </row>
    <row r="348" spans="1:23" ht="11.25" customHeight="1" x14ac:dyDescent="0.25">
      <c r="A348" s="3" t="s">
        <v>21</v>
      </c>
      <c r="B348" s="3" t="s">
        <v>43</v>
      </c>
      <c r="C348" s="3" t="s">
        <v>23</v>
      </c>
      <c r="D348" s="3" t="s">
        <v>44</v>
      </c>
      <c r="E348" s="3" t="s">
        <v>52</v>
      </c>
      <c r="F348" s="3" t="s">
        <v>54</v>
      </c>
      <c r="G348" s="3" t="s">
        <v>25</v>
      </c>
      <c r="H348" s="3" t="s">
        <v>25</v>
      </c>
      <c r="I348" s="6">
        <v>44531</v>
      </c>
      <c r="J348" s="4">
        <v>0</v>
      </c>
      <c r="K348" s="4">
        <v>0</v>
      </c>
      <c r="L348" s="4">
        <v>2.23</v>
      </c>
      <c r="M348" s="4">
        <v>0.89200000000000002</v>
      </c>
      <c r="N348" s="4">
        <v>2.23</v>
      </c>
      <c r="O348" s="4">
        <v>0.89200000000000002</v>
      </c>
      <c r="P348" s="4">
        <v>0</v>
      </c>
      <c r="Q348" s="3" t="s">
        <v>26</v>
      </c>
      <c r="R348" s="3">
        <v>0</v>
      </c>
      <c r="S348" s="3" t="s">
        <v>215</v>
      </c>
      <c r="T348" s="3" t="s">
        <v>376</v>
      </c>
      <c r="U348" s="3">
        <v>0</v>
      </c>
      <c r="V348" s="3">
        <v>55</v>
      </c>
      <c r="W348" s="3">
        <v>20</v>
      </c>
    </row>
    <row r="349" spans="1:23" ht="11.25" customHeight="1" x14ac:dyDescent="0.25">
      <c r="A349" s="3" t="s">
        <v>21</v>
      </c>
      <c r="B349" s="3" t="s">
        <v>43</v>
      </c>
      <c r="C349" s="3" t="s">
        <v>23</v>
      </c>
      <c r="D349" s="3" t="s">
        <v>44</v>
      </c>
      <c r="E349" s="3" t="s">
        <v>52</v>
      </c>
      <c r="F349" s="3" t="s">
        <v>54</v>
      </c>
      <c r="G349" s="3" t="s">
        <v>25</v>
      </c>
      <c r="H349" s="3" t="s">
        <v>25</v>
      </c>
      <c r="I349" s="6">
        <v>44562</v>
      </c>
      <c r="J349" s="4">
        <v>0</v>
      </c>
      <c r="K349" s="4">
        <v>0</v>
      </c>
      <c r="L349" s="4">
        <v>0.436</v>
      </c>
      <c r="M349" s="4">
        <v>0.1744</v>
      </c>
      <c r="N349" s="4">
        <v>0.436</v>
      </c>
      <c r="O349" s="4">
        <v>0.1744</v>
      </c>
      <c r="P349" s="4">
        <v>0</v>
      </c>
      <c r="Q349" s="3" t="s">
        <v>26</v>
      </c>
      <c r="R349" s="3">
        <v>0</v>
      </c>
      <c r="S349" s="3" t="s">
        <v>216</v>
      </c>
      <c r="T349" s="3" t="s">
        <v>377</v>
      </c>
      <c r="U349" s="3">
        <v>0</v>
      </c>
      <c r="V349" s="3">
        <v>55</v>
      </c>
      <c r="W349" s="3">
        <v>20</v>
      </c>
    </row>
    <row r="350" spans="1:23" ht="11.25" customHeight="1" x14ac:dyDescent="0.25">
      <c r="A350" s="3" t="s">
        <v>21</v>
      </c>
      <c r="B350" s="3" t="s">
        <v>43</v>
      </c>
      <c r="C350" s="3" t="s">
        <v>23</v>
      </c>
      <c r="D350" s="3" t="s">
        <v>44</v>
      </c>
      <c r="E350" s="3" t="s">
        <v>52</v>
      </c>
      <c r="F350" s="3" t="s">
        <v>54</v>
      </c>
      <c r="G350" s="3" t="s">
        <v>25</v>
      </c>
      <c r="H350" s="3" t="s">
        <v>25</v>
      </c>
      <c r="I350" s="6">
        <v>44593</v>
      </c>
      <c r="J350" s="4">
        <v>0</v>
      </c>
      <c r="K350" s="4">
        <v>0</v>
      </c>
      <c r="L350" s="4">
        <v>1.02</v>
      </c>
      <c r="M350" s="4">
        <v>0.40799999999999997</v>
      </c>
      <c r="N350" s="4">
        <v>1.02</v>
      </c>
      <c r="O350" s="4">
        <v>0.40799999999999997</v>
      </c>
      <c r="P350" s="4">
        <v>0</v>
      </c>
      <c r="Q350" s="3" t="s">
        <v>26</v>
      </c>
      <c r="R350" s="3">
        <v>0</v>
      </c>
      <c r="S350" s="3" t="s">
        <v>217</v>
      </c>
      <c r="T350" s="3" t="s">
        <v>378</v>
      </c>
      <c r="U350" s="3">
        <v>0</v>
      </c>
      <c r="V350" s="3">
        <v>55</v>
      </c>
      <c r="W350" s="3">
        <v>20</v>
      </c>
    </row>
    <row r="351" spans="1:23" ht="11.25" customHeight="1" x14ac:dyDescent="0.25">
      <c r="A351" s="3" t="s">
        <v>21</v>
      </c>
      <c r="B351" s="3" t="s">
        <v>43</v>
      </c>
      <c r="C351" s="3" t="s">
        <v>23</v>
      </c>
      <c r="D351" s="3" t="s">
        <v>44</v>
      </c>
      <c r="E351" s="3" t="s">
        <v>52</v>
      </c>
      <c r="F351" s="3" t="s">
        <v>54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0.876</v>
      </c>
      <c r="M351" s="4">
        <v>0.35039999999999999</v>
      </c>
      <c r="N351" s="4">
        <v>0.876</v>
      </c>
      <c r="O351" s="4">
        <v>0.35039999999999999</v>
      </c>
      <c r="P351" s="4">
        <v>0</v>
      </c>
      <c r="Q351" s="3" t="s">
        <v>26</v>
      </c>
      <c r="R351" s="3">
        <v>0</v>
      </c>
      <c r="S351" s="3" t="s">
        <v>218</v>
      </c>
      <c r="T351" s="3" t="s">
        <v>379</v>
      </c>
      <c r="U351" s="3">
        <v>0</v>
      </c>
      <c r="V351" s="3">
        <v>55</v>
      </c>
      <c r="W351" s="3">
        <v>20</v>
      </c>
    </row>
    <row r="352" spans="1:23" ht="11.25" customHeight="1" x14ac:dyDescent="0.25">
      <c r="A352" s="3" t="s">
        <v>21</v>
      </c>
      <c r="B352" s="3" t="s">
        <v>43</v>
      </c>
      <c r="C352" s="3" t="s">
        <v>23</v>
      </c>
      <c r="D352" s="3" t="s">
        <v>44</v>
      </c>
      <c r="E352" s="3" t="s">
        <v>52</v>
      </c>
      <c r="F352" s="3" t="s">
        <v>54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0.67900000000000005</v>
      </c>
      <c r="M352" s="4">
        <v>0.27160000000000001</v>
      </c>
      <c r="N352" s="4">
        <v>0.67900000000000005</v>
      </c>
      <c r="O352" s="4">
        <v>0.27160000000000001</v>
      </c>
      <c r="P352" s="4">
        <v>0</v>
      </c>
      <c r="Q352" s="3" t="s">
        <v>26</v>
      </c>
      <c r="R352" s="3">
        <v>0</v>
      </c>
      <c r="S352" s="3" t="s">
        <v>219</v>
      </c>
      <c r="T352" s="3" t="s">
        <v>380</v>
      </c>
      <c r="U352" s="3">
        <v>0</v>
      </c>
      <c r="V352" s="3">
        <v>55</v>
      </c>
      <c r="W352" s="3">
        <v>20</v>
      </c>
    </row>
    <row r="353" spans="1:23" ht="11.25" customHeight="1" x14ac:dyDescent="0.25">
      <c r="A353" s="3" t="s">
        <v>21</v>
      </c>
      <c r="B353" s="3" t="s">
        <v>43</v>
      </c>
      <c r="C353" s="3" t="s">
        <v>23</v>
      </c>
      <c r="D353" s="3" t="s">
        <v>44</v>
      </c>
      <c r="E353" s="3" t="s">
        <v>52</v>
      </c>
      <c r="F353" s="3" t="s">
        <v>54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0.38</v>
      </c>
      <c r="M353" s="4">
        <v>0.152</v>
      </c>
      <c r="N353" s="4">
        <v>0.38</v>
      </c>
      <c r="O353" s="4">
        <v>0.152</v>
      </c>
      <c r="P353" s="4">
        <v>0</v>
      </c>
      <c r="Q353" s="3" t="s">
        <v>26</v>
      </c>
      <c r="R353" s="3">
        <v>0</v>
      </c>
      <c r="S353" s="3" t="s">
        <v>220</v>
      </c>
      <c r="T353" s="3" t="s">
        <v>381</v>
      </c>
      <c r="U353" s="3">
        <v>0</v>
      </c>
      <c r="V353" s="3">
        <v>55</v>
      </c>
      <c r="W353" s="3">
        <v>20</v>
      </c>
    </row>
    <row r="354" spans="1:23" ht="11.25" customHeight="1" x14ac:dyDescent="0.25">
      <c r="A354" s="3" t="s">
        <v>21</v>
      </c>
      <c r="B354" s="3" t="s">
        <v>43</v>
      </c>
      <c r="C354" s="3" t="s">
        <v>23</v>
      </c>
      <c r="D354" s="3" t="s">
        <v>44</v>
      </c>
      <c r="E354" s="3" t="s">
        <v>52</v>
      </c>
      <c r="F354" s="3" t="s">
        <v>54</v>
      </c>
      <c r="G354" s="3" t="s">
        <v>25</v>
      </c>
      <c r="H354" s="3" t="s">
        <v>25</v>
      </c>
      <c r="I354" s="6">
        <v>44713</v>
      </c>
      <c r="J354" s="4">
        <v>0</v>
      </c>
      <c r="K354" s="4">
        <v>0</v>
      </c>
      <c r="L354" s="4">
        <v>0.26900000000000002</v>
      </c>
      <c r="M354" s="4">
        <v>0.1076</v>
      </c>
      <c r="N354" s="4">
        <v>0.26900000000000002</v>
      </c>
      <c r="O354" s="4">
        <v>0.1076</v>
      </c>
      <c r="P354" s="4">
        <v>0</v>
      </c>
      <c r="Q354" s="3" t="s">
        <v>26</v>
      </c>
      <c r="R354" s="3">
        <v>0</v>
      </c>
      <c r="S354" s="3" t="s">
        <v>221</v>
      </c>
      <c r="T354" s="3" t="s">
        <v>382</v>
      </c>
      <c r="U354" s="3">
        <v>0</v>
      </c>
      <c r="V354" s="3">
        <v>55</v>
      </c>
      <c r="W354" s="3">
        <v>20</v>
      </c>
    </row>
    <row r="355" spans="1:23" ht="11.25" customHeight="1" x14ac:dyDescent="0.25">
      <c r="A355" s="3" t="s">
        <v>21</v>
      </c>
      <c r="B355" s="3" t="s">
        <v>43</v>
      </c>
      <c r="C355" s="3" t="s">
        <v>23</v>
      </c>
      <c r="D355" s="3" t="s">
        <v>44</v>
      </c>
      <c r="E355" s="3" t="s">
        <v>52</v>
      </c>
      <c r="F355" s="3" t="s">
        <v>54</v>
      </c>
      <c r="G355" s="3" t="s">
        <v>25</v>
      </c>
      <c r="H355" s="3" t="s">
        <v>25</v>
      </c>
      <c r="I355" s="6">
        <v>44743</v>
      </c>
      <c r="J355" s="4">
        <v>0</v>
      </c>
      <c r="K355" s="4">
        <v>0</v>
      </c>
      <c r="L355" s="4">
        <v>0.22</v>
      </c>
      <c r="M355" s="4">
        <v>8.7999999999999995E-2</v>
      </c>
      <c r="N355" s="4">
        <v>0.22</v>
      </c>
      <c r="O355" s="4">
        <v>8.7999999999999995E-2</v>
      </c>
      <c r="P355" s="4">
        <v>0</v>
      </c>
      <c r="Q355" s="3" t="s">
        <v>26</v>
      </c>
      <c r="R355" s="3">
        <v>0</v>
      </c>
      <c r="S355" s="3" t="s">
        <v>222</v>
      </c>
      <c r="T355" s="3" t="s">
        <v>383</v>
      </c>
      <c r="U355" s="3">
        <v>0</v>
      </c>
      <c r="V355" s="3">
        <v>55</v>
      </c>
      <c r="W355" s="3">
        <v>20</v>
      </c>
    </row>
    <row r="356" spans="1:23" ht="11.25" customHeight="1" x14ac:dyDescent="0.25">
      <c r="A356" s="3" t="s">
        <v>55</v>
      </c>
      <c r="B356" s="3" t="s">
        <v>43</v>
      </c>
      <c r="C356" s="3" t="s">
        <v>23</v>
      </c>
      <c r="D356" s="3" t="s">
        <v>44</v>
      </c>
      <c r="E356" s="3" t="s">
        <v>52</v>
      </c>
      <c r="F356" s="3" t="s">
        <v>54</v>
      </c>
      <c r="G356" s="3" t="s">
        <v>25</v>
      </c>
      <c r="H356" s="3" t="s">
        <v>25</v>
      </c>
      <c r="I356" s="6">
        <v>44774</v>
      </c>
      <c r="J356" s="4">
        <v>0</v>
      </c>
      <c r="K356" s="4">
        <v>0</v>
      </c>
      <c r="L356" s="4">
        <v>0.22</v>
      </c>
      <c r="M356" s="4">
        <v>8.7999999999999995E-2</v>
      </c>
      <c r="N356" s="4">
        <v>0.22</v>
      </c>
      <c r="O356" s="4">
        <v>8.7999999999999995E-2</v>
      </c>
      <c r="P356" s="4">
        <v>0</v>
      </c>
      <c r="Q356" s="3" t="s">
        <v>26</v>
      </c>
      <c r="R356" s="3">
        <v>0</v>
      </c>
      <c r="S356" s="3" t="s">
        <v>223</v>
      </c>
      <c r="T356" s="3" t="s">
        <v>384</v>
      </c>
      <c r="U356" s="3">
        <v>0</v>
      </c>
      <c r="V356" s="3">
        <v>55</v>
      </c>
      <c r="W356" s="3">
        <v>20</v>
      </c>
    </row>
    <row r="357" spans="1:23" ht="11.25" customHeight="1" x14ac:dyDescent="0.25">
      <c r="A357" s="3" t="s">
        <v>21</v>
      </c>
      <c r="B357" s="3" t="s">
        <v>43</v>
      </c>
      <c r="C357" s="3" t="s">
        <v>23</v>
      </c>
      <c r="D357" s="3" t="s">
        <v>44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244.33500000000001</v>
      </c>
      <c r="M357" s="4">
        <v>244.33500000000001</v>
      </c>
      <c r="N357" s="4">
        <v>244.33500000000001</v>
      </c>
      <c r="O357" s="4">
        <v>244.33500000000001</v>
      </c>
      <c r="P357" s="4">
        <v>760</v>
      </c>
      <c r="Q357" s="3" t="s">
        <v>26</v>
      </c>
      <c r="R357" s="3">
        <v>0</v>
      </c>
      <c r="S357" s="3" t="s">
        <v>212</v>
      </c>
      <c r="T357" s="3" t="s">
        <v>373</v>
      </c>
      <c r="U357" s="3">
        <v>0</v>
      </c>
      <c r="V357" s="3">
        <v>55</v>
      </c>
      <c r="W357" s="3">
        <v>20</v>
      </c>
    </row>
    <row r="358" spans="1:23" ht="11.25" customHeight="1" x14ac:dyDescent="0.25">
      <c r="A358" s="3" t="s">
        <v>28</v>
      </c>
      <c r="B358" s="3" t="s">
        <v>43</v>
      </c>
      <c r="C358" s="3" t="s">
        <v>23</v>
      </c>
      <c r="D358" s="3" t="s">
        <v>44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44440</v>
      </c>
      <c r="J358" s="4">
        <v>0</v>
      </c>
      <c r="K358" s="4">
        <v>0</v>
      </c>
      <c r="L358" s="4">
        <v>0.54800000000000004</v>
      </c>
      <c r="M358" s="4">
        <v>0.54800000000000004</v>
      </c>
      <c r="N358" s="4">
        <v>0.54800000000000004</v>
      </c>
      <c r="O358" s="4">
        <v>0.54800000000000004</v>
      </c>
      <c r="P358" s="4">
        <v>4</v>
      </c>
      <c r="Q358" s="3" t="s">
        <v>26</v>
      </c>
      <c r="R358" s="3">
        <v>0</v>
      </c>
      <c r="S358" s="3" t="s">
        <v>212</v>
      </c>
      <c r="T358" s="3" t="s">
        <v>373</v>
      </c>
      <c r="U358" s="3">
        <v>0</v>
      </c>
      <c r="V358" s="3">
        <v>55</v>
      </c>
      <c r="W358" s="3">
        <v>20</v>
      </c>
    </row>
    <row r="359" spans="1:23" ht="11.25" customHeight="1" x14ac:dyDescent="0.25">
      <c r="A359" s="3" t="s">
        <v>21</v>
      </c>
      <c r="B359" s="3" t="s">
        <v>43</v>
      </c>
      <c r="C359" s="3" t="s">
        <v>23</v>
      </c>
      <c r="D359" s="3" t="s">
        <v>44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303.26799999999997</v>
      </c>
      <c r="M359" s="4">
        <v>303.26799999999997</v>
      </c>
      <c r="N359" s="4">
        <v>303.26799999999997</v>
      </c>
      <c r="O359" s="4">
        <v>303.26799999999997</v>
      </c>
      <c r="P359" s="4">
        <v>764</v>
      </c>
      <c r="Q359" s="3" t="s">
        <v>26</v>
      </c>
      <c r="R359" s="3">
        <v>0</v>
      </c>
      <c r="S359" s="3" t="s">
        <v>213</v>
      </c>
      <c r="T359" s="3" t="s">
        <v>374</v>
      </c>
      <c r="U359" s="3">
        <v>0</v>
      </c>
      <c r="V359" s="3">
        <v>55</v>
      </c>
      <c r="W359" s="3">
        <v>20</v>
      </c>
    </row>
    <row r="360" spans="1:23" ht="11.25" customHeight="1" x14ac:dyDescent="0.25">
      <c r="A360" s="3" t="s">
        <v>27</v>
      </c>
      <c r="B360" s="3" t="s">
        <v>43</v>
      </c>
      <c r="C360" s="3" t="s">
        <v>23</v>
      </c>
      <c r="D360" s="3" t="s">
        <v>44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-1</v>
      </c>
      <c r="M360" s="4">
        <v>-1</v>
      </c>
      <c r="N360" s="4">
        <v>-1</v>
      </c>
      <c r="O360" s="4">
        <v>-1</v>
      </c>
      <c r="P360" s="4">
        <v>0</v>
      </c>
      <c r="Q360" s="3" t="s">
        <v>26</v>
      </c>
      <c r="R360" s="3">
        <v>0</v>
      </c>
      <c r="S360" s="3" t="s">
        <v>213</v>
      </c>
      <c r="T360" s="3" t="s">
        <v>374</v>
      </c>
      <c r="U360" s="3">
        <v>0</v>
      </c>
      <c r="V360" s="3">
        <v>55</v>
      </c>
      <c r="W360" s="3">
        <v>20</v>
      </c>
    </row>
    <row r="361" spans="1:23" ht="11.25" customHeight="1" x14ac:dyDescent="0.25">
      <c r="A361" s="3" t="s">
        <v>28</v>
      </c>
      <c r="B361" s="3" t="s">
        <v>43</v>
      </c>
      <c r="C361" s="3" t="s">
        <v>23</v>
      </c>
      <c r="D361" s="3" t="s">
        <v>44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0.56699999999999995</v>
      </c>
      <c r="M361" s="4">
        <v>0.56699999999999995</v>
      </c>
      <c r="N361" s="4">
        <v>0.56699999999999995</v>
      </c>
      <c r="O361" s="4">
        <v>0.56699999999999995</v>
      </c>
      <c r="P361" s="4">
        <v>4</v>
      </c>
      <c r="Q361" s="3" t="s">
        <v>26</v>
      </c>
      <c r="R361" s="3">
        <v>0</v>
      </c>
      <c r="S361" s="3" t="s">
        <v>213</v>
      </c>
      <c r="T361" s="3" t="s">
        <v>374</v>
      </c>
      <c r="U361" s="3">
        <v>0</v>
      </c>
      <c r="V361" s="3">
        <v>55</v>
      </c>
      <c r="W361" s="3">
        <v>20</v>
      </c>
    </row>
    <row r="362" spans="1:23" ht="11.25" customHeight="1" x14ac:dyDescent="0.25">
      <c r="A362" s="3" t="s">
        <v>21</v>
      </c>
      <c r="B362" s="3" t="s">
        <v>43</v>
      </c>
      <c r="C362" s="3" t="s">
        <v>23</v>
      </c>
      <c r="D362" s="3" t="s">
        <v>44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335.06099999999998</v>
      </c>
      <c r="M362" s="4">
        <v>335.06099999999998</v>
      </c>
      <c r="N362" s="4">
        <v>335.06099999999998</v>
      </c>
      <c r="O362" s="4">
        <v>335.06099999999998</v>
      </c>
      <c r="P362" s="4">
        <v>764</v>
      </c>
      <c r="Q362" s="3" t="s">
        <v>26</v>
      </c>
      <c r="R362" s="3">
        <v>0</v>
      </c>
      <c r="S362" s="3" t="s">
        <v>214</v>
      </c>
      <c r="T362" s="3" t="s">
        <v>375</v>
      </c>
      <c r="U362" s="3">
        <v>0</v>
      </c>
      <c r="V362" s="3">
        <v>55</v>
      </c>
      <c r="W362" s="3">
        <v>20</v>
      </c>
    </row>
    <row r="363" spans="1:23" ht="11.25" customHeight="1" x14ac:dyDescent="0.25">
      <c r="A363" s="3" t="s">
        <v>27</v>
      </c>
      <c r="B363" s="3" t="s">
        <v>43</v>
      </c>
      <c r="C363" s="3" t="s">
        <v>23</v>
      </c>
      <c r="D363" s="3" t="s">
        <v>44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-1.5720000000000001</v>
      </c>
      <c r="M363" s="4">
        <v>-1.5720000000000001</v>
      </c>
      <c r="N363" s="4">
        <v>-1.5720000000000001</v>
      </c>
      <c r="O363" s="4">
        <v>-1.5720000000000001</v>
      </c>
      <c r="P363" s="4">
        <v>0</v>
      </c>
      <c r="Q363" s="3" t="s">
        <v>26</v>
      </c>
      <c r="R363" s="3">
        <v>0</v>
      </c>
      <c r="S363" s="3" t="s">
        <v>214</v>
      </c>
      <c r="T363" s="3" t="s">
        <v>375</v>
      </c>
      <c r="U363" s="3">
        <v>0</v>
      </c>
      <c r="V363" s="3">
        <v>55</v>
      </c>
      <c r="W363" s="3">
        <v>20</v>
      </c>
    </row>
    <row r="364" spans="1:23" ht="11.25" customHeight="1" x14ac:dyDescent="0.25">
      <c r="A364" s="3" t="s">
        <v>28</v>
      </c>
      <c r="B364" s="3" t="s">
        <v>43</v>
      </c>
      <c r="C364" s="3" t="s">
        <v>23</v>
      </c>
      <c r="D364" s="3" t="s">
        <v>44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1.4790000000000001</v>
      </c>
      <c r="M364" s="4">
        <v>1.4790000000000001</v>
      </c>
      <c r="N364" s="4">
        <v>1.4790000000000001</v>
      </c>
      <c r="O364" s="4">
        <v>1.4790000000000001</v>
      </c>
      <c r="P364" s="4">
        <v>6</v>
      </c>
      <c r="Q364" s="3" t="s">
        <v>26</v>
      </c>
      <c r="R364" s="3">
        <v>0</v>
      </c>
      <c r="S364" s="3" t="s">
        <v>214</v>
      </c>
      <c r="T364" s="3" t="s">
        <v>375</v>
      </c>
      <c r="U364" s="3">
        <v>0</v>
      </c>
      <c r="V364" s="3">
        <v>55</v>
      </c>
      <c r="W364" s="3">
        <v>20</v>
      </c>
    </row>
    <row r="365" spans="1:23" ht="11.25" customHeight="1" x14ac:dyDescent="0.25">
      <c r="A365" s="3" t="s">
        <v>21</v>
      </c>
      <c r="B365" s="3" t="s">
        <v>43</v>
      </c>
      <c r="C365" s="3" t="s">
        <v>23</v>
      </c>
      <c r="D365" s="3" t="s">
        <v>44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319.11</v>
      </c>
      <c r="M365" s="4">
        <v>319.11</v>
      </c>
      <c r="N365" s="4">
        <v>319.11</v>
      </c>
      <c r="O365" s="4">
        <v>319.11</v>
      </c>
      <c r="P365" s="4">
        <v>762</v>
      </c>
      <c r="Q365" s="3" t="s">
        <v>26</v>
      </c>
      <c r="R365" s="3">
        <v>0</v>
      </c>
      <c r="S365" s="3" t="s">
        <v>215</v>
      </c>
      <c r="T365" s="3" t="s">
        <v>376</v>
      </c>
      <c r="U365" s="3">
        <v>0</v>
      </c>
      <c r="V365" s="3">
        <v>55</v>
      </c>
      <c r="W365" s="3">
        <v>20</v>
      </c>
    </row>
    <row r="366" spans="1:23" ht="11.25" customHeight="1" x14ac:dyDescent="0.25">
      <c r="A366" s="3" t="s">
        <v>27</v>
      </c>
      <c r="B366" s="3" t="s">
        <v>43</v>
      </c>
      <c r="C366" s="3" t="s">
        <v>23</v>
      </c>
      <c r="D366" s="3" t="s">
        <v>44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44531</v>
      </c>
      <c r="J366" s="4">
        <v>0</v>
      </c>
      <c r="K366" s="4">
        <v>0</v>
      </c>
      <c r="L366" s="4">
        <v>-0.13400000000000001</v>
      </c>
      <c r="M366" s="4">
        <v>-0.13400000000000001</v>
      </c>
      <c r="N366" s="4">
        <v>-0.13400000000000001</v>
      </c>
      <c r="O366" s="4">
        <v>-0.13400000000000001</v>
      </c>
      <c r="P366" s="4">
        <v>0</v>
      </c>
      <c r="Q366" s="3" t="s">
        <v>26</v>
      </c>
      <c r="R366" s="3">
        <v>0</v>
      </c>
      <c r="S366" s="3" t="s">
        <v>215</v>
      </c>
      <c r="T366" s="3" t="s">
        <v>376</v>
      </c>
      <c r="U366" s="3">
        <v>0</v>
      </c>
      <c r="V366" s="3">
        <v>55</v>
      </c>
      <c r="W366" s="3">
        <v>20</v>
      </c>
    </row>
    <row r="367" spans="1:23" ht="11.25" customHeight="1" x14ac:dyDescent="0.25">
      <c r="A367" s="3" t="s">
        <v>28</v>
      </c>
      <c r="B367" s="3" t="s">
        <v>43</v>
      </c>
      <c r="C367" s="3" t="s">
        <v>23</v>
      </c>
      <c r="D367" s="3" t="s">
        <v>44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44531</v>
      </c>
      <c r="J367" s="4">
        <v>0</v>
      </c>
      <c r="K367" s="4">
        <v>0</v>
      </c>
      <c r="L367" s="4">
        <v>2.0459999999999998</v>
      </c>
      <c r="M367" s="4">
        <v>2.0459999999999998</v>
      </c>
      <c r="N367" s="4">
        <v>2.0459999999999998</v>
      </c>
      <c r="O367" s="4">
        <v>2.0459999999999998</v>
      </c>
      <c r="P367" s="4">
        <v>8</v>
      </c>
      <c r="Q367" s="3" t="s">
        <v>26</v>
      </c>
      <c r="R367" s="3">
        <v>0</v>
      </c>
      <c r="S367" s="3" t="s">
        <v>215</v>
      </c>
      <c r="T367" s="3" t="s">
        <v>376</v>
      </c>
      <c r="U367" s="3">
        <v>0</v>
      </c>
      <c r="V367" s="3">
        <v>55</v>
      </c>
      <c r="W367" s="3">
        <v>20</v>
      </c>
    </row>
    <row r="368" spans="1:23" ht="11.25" customHeight="1" x14ac:dyDescent="0.25">
      <c r="A368" s="3" t="s">
        <v>21</v>
      </c>
      <c r="B368" s="3" t="s">
        <v>43</v>
      </c>
      <c r="C368" s="3" t="s">
        <v>23</v>
      </c>
      <c r="D368" s="3" t="s">
        <v>44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318.49099999999999</v>
      </c>
      <c r="M368" s="4">
        <v>318.49099999999999</v>
      </c>
      <c r="N368" s="4">
        <v>318.49099999999999</v>
      </c>
      <c r="O368" s="4">
        <v>318.49099999999999</v>
      </c>
      <c r="P368" s="4">
        <v>759</v>
      </c>
      <c r="Q368" s="3" t="s">
        <v>26</v>
      </c>
      <c r="R368" s="3">
        <v>0</v>
      </c>
      <c r="S368" s="3" t="s">
        <v>216</v>
      </c>
      <c r="T368" s="3" t="s">
        <v>377</v>
      </c>
      <c r="U368" s="3">
        <v>0</v>
      </c>
      <c r="V368" s="3">
        <v>55</v>
      </c>
      <c r="W368" s="3">
        <v>20</v>
      </c>
    </row>
    <row r="369" spans="1:23" ht="11.25" customHeight="1" x14ac:dyDescent="0.25">
      <c r="A369" s="3" t="s">
        <v>28</v>
      </c>
      <c r="B369" s="3" t="s">
        <v>43</v>
      </c>
      <c r="C369" s="3" t="s">
        <v>23</v>
      </c>
      <c r="D369" s="3" t="s">
        <v>44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44562</v>
      </c>
      <c r="J369" s="4">
        <v>0</v>
      </c>
      <c r="K369" s="4">
        <v>0</v>
      </c>
      <c r="L369" s="4">
        <v>3.1779999999999999</v>
      </c>
      <c r="M369" s="4">
        <v>3.1779999999999999</v>
      </c>
      <c r="N369" s="4">
        <v>3.1779999999999999</v>
      </c>
      <c r="O369" s="4">
        <v>3.1779999999999999</v>
      </c>
      <c r="P369" s="4">
        <v>10</v>
      </c>
      <c r="Q369" s="3" t="s">
        <v>26</v>
      </c>
      <c r="R369" s="3">
        <v>0</v>
      </c>
      <c r="S369" s="3" t="s">
        <v>216</v>
      </c>
      <c r="T369" s="3" t="s">
        <v>377</v>
      </c>
      <c r="U369" s="3">
        <v>0</v>
      </c>
      <c r="V369" s="3">
        <v>55</v>
      </c>
      <c r="W369" s="3">
        <v>20</v>
      </c>
    </row>
    <row r="370" spans="1:23" ht="11.25" customHeight="1" x14ac:dyDescent="0.25">
      <c r="A370" s="3" t="s">
        <v>21</v>
      </c>
      <c r="B370" s="3" t="s">
        <v>43</v>
      </c>
      <c r="C370" s="3" t="s">
        <v>23</v>
      </c>
      <c r="D370" s="3" t="s">
        <v>44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268.94799999999998</v>
      </c>
      <c r="M370" s="4">
        <v>268.94799999999998</v>
      </c>
      <c r="N370" s="4">
        <v>268.94799999999998</v>
      </c>
      <c r="O370" s="4">
        <v>268.94799999999998</v>
      </c>
      <c r="P370" s="4">
        <v>755</v>
      </c>
      <c r="Q370" s="3" t="s">
        <v>26</v>
      </c>
      <c r="R370" s="3">
        <v>0</v>
      </c>
      <c r="S370" s="3" t="s">
        <v>217</v>
      </c>
      <c r="T370" s="3" t="s">
        <v>378</v>
      </c>
      <c r="U370" s="3">
        <v>0</v>
      </c>
      <c r="V370" s="3">
        <v>55</v>
      </c>
      <c r="W370" s="3">
        <v>20</v>
      </c>
    </row>
    <row r="371" spans="1:23" ht="11.25" customHeight="1" x14ac:dyDescent="0.25">
      <c r="A371" s="3" t="s">
        <v>27</v>
      </c>
      <c r="B371" s="3" t="s">
        <v>43</v>
      </c>
      <c r="C371" s="3" t="s">
        <v>23</v>
      </c>
      <c r="D371" s="3" t="s">
        <v>44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44593</v>
      </c>
      <c r="J371" s="4">
        <v>0</v>
      </c>
      <c r="K371" s="4">
        <v>0</v>
      </c>
      <c r="L371" s="4">
        <v>-0.13300000000000001</v>
      </c>
      <c r="M371" s="4">
        <v>-0.13300000000000001</v>
      </c>
      <c r="N371" s="4">
        <v>-0.13300000000000001</v>
      </c>
      <c r="O371" s="4">
        <v>-0.13300000000000001</v>
      </c>
      <c r="P371" s="4">
        <v>0</v>
      </c>
      <c r="Q371" s="3" t="s">
        <v>26</v>
      </c>
      <c r="R371" s="3">
        <v>0</v>
      </c>
      <c r="S371" s="3" t="s">
        <v>217</v>
      </c>
      <c r="T371" s="3" t="s">
        <v>378</v>
      </c>
      <c r="U371" s="3">
        <v>0</v>
      </c>
      <c r="V371" s="3">
        <v>55</v>
      </c>
      <c r="W371" s="3">
        <v>20</v>
      </c>
    </row>
    <row r="372" spans="1:23" ht="11.25" customHeight="1" x14ac:dyDescent="0.25">
      <c r="A372" s="3" t="s">
        <v>28</v>
      </c>
      <c r="B372" s="3" t="s">
        <v>43</v>
      </c>
      <c r="C372" s="3" t="s">
        <v>23</v>
      </c>
      <c r="D372" s="3" t="s">
        <v>44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44593</v>
      </c>
      <c r="J372" s="4">
        <v>0</v>
      </c>
      <c r="K372" s="4">
        <v>0</v>
      </c>
      <c r="L372" s="4">
        <v>1.24</v>
      </c>
      <c r="M372" s="4">
        <v>1.24</v>
      </c>
      <c r="N372" s="4">
        <v>1.24</v>
      </c>
      <c r="O372" s="4">
        <v>1.24</v>
      </c>
      <c r="P372" s="4">
        <v>10</v>
      </c>
      <c r="Q372" s="3" t="s">
        <v>26</v>
      </c>
      <c r="R372" s="3">
        <v>0</v>
      </c>
      <c r="S372" s="3" t="s">
        <v>217</v>
      </c>
      <c r="T372" s="3" t="s">
        <v>378</v>
      </c>
      <c r="U372" s="3">
        <v>0</v>
      </c>
      <c r="V372" s="3">
        <v>55</v>
      </c>
      <c r="W372" s="3">
        <v>20</v>
      </c>
    </row>
    <row r="373" spans="1:23" ht="11.25" customHeight="1" x14ac:dyDescent="0.25">
      <c r="A373" s="3" t="s">
        <v>21</v>
      </c>
      <c r="B373" s="3" t="s">
        <v>43</v>
      </c>
      <c r="C373" s="3" t="s">
        <v>23</v>
      </c>
      <c r="D373" s="3" t="s">
        <v>44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247.32499999999999</v>
      </c>
      <c r="M373" s="4">
        <v>247.32499999999999</v>
      </c>
      <c r="N373" s="4">
        <v>247.32499999999999</v>
      </c>
      <c r="O373" s="4">
        <v>247.32499999999999</v>
      </c>
      <c r="P373" s="4">
        <v>753</v>
      </c>
      <c r="Q373" s="3" t="s">
        <v>26</v>
      </c>
      <c r="R373" s="3">
        <v>0</v>
      </c>
      <c r="S373" s="3" t="s">
        <v>218</v>
      </c>
      <c r="T373" s="3" t="s">
        <v>379</v>
      </c>
      <c r="U373" s="3">
        <v>0</v>
      </c>
      <c r="V373" s="3">
        <v>55</v>
      </c>
      <c r="W373" s="3">
        <v>20</v>
      </c>
    </row>
    <row r="374" spans="1:23" ht="11.25" customHeight="1" x14ac:dyDescent="0.25">
      <c r="A374" s="3" t="s">
        <v>27</v>
      </c>
      <c r="B374" s="3" t="s">
        <v>43</v>
      </c>
      <c r="C374" s="3" t="s">
        <v>23</v>
      </c>
      <c r="D374" s="3" t="s">
        <v>44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4">
        <v>0</v>
      </c>
      <c r="L374" s="4">
        <v>-0.27300000000000002</v>
      </c>
      <c r="M374" s="4">
        <v>-0.27300000000000002</v>
      </c>
      <c r="N374" s="4">
        <v>-0.27300000000000002</v>
      </c>
      <c r="O374" s="4">
        <v>-0.27300000000000002</v>
      </c>
      <c r="P374" s="4">
        <v>0</v>
      </c>
      <c r="Q374" s="3" t="s">
        <v>26</v>
      </c>
      <c r="R374" s="3">
        <v>0</v>
      </c>
      <c r="S374" s="3" t="s">
        <v>218</v>
      </c>
      <c r="T374" s="3" t="s">
        <v>379</v>
      </c>
      <c r="U374" s="3">
        <v>0</v>
      </c>
      <c r="V374" s="3">
        <v>55</v>
      </c>
      <c r="W374" s="3">
        <v>20</v>
      </c>
    </row>
    <row r="375" spans="1:23" ht="11.25" customHeight="1" x14ac:dyDescent="0.25">
      <c r="A375" s="3" t="s">
        <v>28</v>
      </c>
      <c r="B375" s="3" t="s">
        <v>43</v>
      </c>
      <c r="C375" s="3" t="s">
        <v>23</v>
      </c>
      <c r="D375" s="3" t="s">
        <v>44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44621</v>
      </c>
      <c r="J375" s="4">
        <v>0</v>
      </c>
      <c r="K375" s="4">
        <v>0</v>
      </c>
      <c r="L375" s="4">
        <v>4.9139999999999997</v>
      </c>
      <c r="M375" s="4">
        <v>4.9139999999999997</v>
      </c>
      <c r="N375" s="4">
        <v>4.9139999999999997</v>
      </c>
      <c r="O375" s="4">
        <v>4.9139999999999997</v>
      </c>
      <c r="P375" s="4">
        <v>12</v>
      </c>
      <c r="Q375" s="3" t="s">
        <v>26</v>
      </c>
      <c r="R375" s="3">
        <v>0</v>
      </c>
      <c r="S375" s="3" t="s">
        <v>218</v>
      </c>
      <c r="T375" s="3" t="s">
        <v>379</v>
      </c>
      <c r="U375" s="3">
        <v>0</v>
      </c>
      <c r="V375" s="3">
        <v>55</v>
      </c>
      <c r="W375" s="3">
        <v>20</v>
      </c>
    </row>
    <row r="376" spans="1:23" ht="11.25" customHeight="1" x14ac:dyDescent="0.25">
      <c r="A376" s="3" t="s">
        <v>21</v>
      </c>
      <c r="B376" s="3" t="s">
        <v>43</v>
      </c>
      <c r="C376" s="3" t="s">
        <v>23</v>
      </c>
      <c r="D376" s="3" t="s">
        <v>44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226.661</v>
      </c>
      <c r="M376" s="4">
        <v>226.661</v>
      </c>
      <c r="N376" s="4">
        <v>226.661</v>
      </c>
      <c r="O376" s="4">
        <v>226.661</v>
      </c>
      <c r="P376" s="4">
        <v>756</v>
      </c>
      <c r="Q376" s="3" t="s">
        <v>26</v>
      </c>
      <c r="R376" s="3">
        <v>0</v>
      </c>
      <c r="S376" s="3" t="s">
        <v>219</v>
      </c>
      <c r="T376" s="3" t="s">
        <v>380</v>
      </c>
      <c r="U376" s="3">
        <v>0</v>
      </c>
      <c r="V376" s="3">
        <v>55</v>
      </c>
      <c r="W376" s="3">
        <v>20</v>
      </c>
    </row>
    <row r="377" spans="1:23" ht="11.25" customHeight="1" x14ac:dyDescent="0.25">
      <c r="A377" s="3" t="s">
        <v>27</v>
      </c>
      <c r="B377" s="3" t="s">
        <v>43</v>
      </c>
      <c r="C377" s="3" t="s">
        <v>23</v>
      </c>
      <c r="D377" s="3" t="s">
        <v>44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44652</v>
      </c>
      <c r="J377" s="4">
        <v>0</v>
      </c>
      <c r="K377" s="4">
        <v>0</v>
      </c>
      <c r="L377" s="4">
        <v>-0.55200000000000005</v>
      </c>
      <c r="M377" s="4">
        <v>-0.55200000000000005</v>
      </c>
      <c r="N377" s="4">
        <v>-0.55200000000000005</v>
      </c>
      <c r="O377" s="4">
        <v>-0.55200000000000005</v>
      </c>
      <c r="P377" s="4">
        <v>0</v>
      </c>
      <c r="Q377" s="3" t="s">
        <v>26</v>
      </c>
      <c r="R377" s="3">
        <v>0</v>
      </c>
      <c r="S377" s="3" t="s">
        <v>219</v>
      </c>
      <c r="T377" s="3" t="s">
        <v>380</v>
      </c>
      <c r="U377" s="3">
        <v>0</v>
      </c>
      <c r="V377" s="3">
        <v>55</v>
      </c>
      <c r="W377" s="3">
        <v>20</v>
      </c>
    </row>
    <row r="378" spans="1:23" ht="11.25" customHeight="1" x14ac:dyDescent="0.25">
      <c r="A378" s="3" t="s">
        <v>28</v>
      </c>
      <c r="B378" s="3" t="s">
        <v>43</v>
      </c>
      <c r="C378" s="3" t="s">
        <v>23</v>
      </c>
      <c r="D378" s="3" t="s">
        <v>44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44652</v>
      </c>
      <c r="J378" s="4">
        <v>0</v>
      </c>
      <c r="K378" s="4">
        <v>0</v>
      </c>
      <c r="L378" s="4">
        <v>4.5819999999999999</v>
      </c>
      <c r="M378" s="4">
        <v>4.5819999999999999</v>
      </c>
      <c r="N378" s="4">
        <v>4.5819999999999999</v>
      </c>
      <c r="O378" s="4">
        <v>4.5819999999999999</v>
      </c>
      <c r="P378" s="4">
        <v>12</v>
      </c>
      <c r="Q378" s="3" t="s">
        <v>26</v>
      </c>
      <c r="R378" s="3">
        <v>0</v>
      </c>
      <c r="S378" s="3" t="s">
        <v>219</v>
      </c>
      <c r="T378" s="3" t="s">
        <v>380</v>
      </c>
      <c r="U378" s="3">
        <v>0</v>
      </c>
      <c r="V378" s="3">
        <v>55</v>
      </c>
      <c r="W378" s="3">
        <v>20</v>
      </c>
    </row>
    <row r="379" spans="1:23" ht="11.25" customHeight="1" x14ac:dyDescent="0.25">
      <c r="A379" s="3" t="s">
        <v>21</v>
      </c>
      <c r="B379" s="3" t="s">
        <v>43</v>
      </c>
      <c r="C379" s="3" t="s">
        <v>23</v>
      </c>
      <c r="D379" s="3" t="s">
        <v>44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44682</v>
      </c>
      <c r="J379" s="4">
        <v>0</v>
      </c>
      <c r="K379" s="4">
        <v>0</v>
      </c>
      <c r="L379" s="4">
        <v>212.1</v>
      </c>
      <c r="M379" s="4">
        <v>212.1</v>
      </c>
      <c r="N379" s="4">
        <v>212.1</v>
      </c>
      <c r="O379" s="4">
        <v>212.1</v>
      </c>
      <c r="P379" s="4">
        <v>756</v>
      </c>
      <c r="Q379" s="3" t="s">
        <v>26</v>
      </c>
      <c r="R379" s="3">
        <v>0</v>
      </c>
      <c r="S379" s="3" t="s">
        <v>220</v>
      </c>
      <c r="T379" s="3" t="s">
        <v>381</v>
      </c>
      <c r="U379" s="3">
        <v>0</v>
      </c>
      <c r="V379" s="3">
        <v>55</v>
      </c>
      <c r="W379" s="3">
        <v>20</v>
      </c>
    </row>
    <row r="380" spans="1:23" ht="11.25" customHeight="1" x14ac:dyDescent="0.25">
      <c r="A380" s="3" t="s">
        <v>27</v>
      </c>
      <c r="B380" s="3" t="s">
        <v>43</v>
      </c>
      <c r="C380" s="3" t="s">
        <v>23</v>
      </c>
      <c r="D380" s="3" t="s">
        <v>44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-0.55500000000000005</v>
      </c>
      <c r="M380" s="4">
        <v>-0.55500000000000005</v>
      </c>
      <c r="N380" s="4">
        <v>-0.55500000000000005</v>
      </c>
      <c r="O380" s="4">
        <v>-0.55500000000000005</v>
      </c>
      <c r="P380" s="4">
        <v>0</v>
      </c>
      <c r="Q380" s="3" t="s">
        <v>26</v>
      </c>
      <c r="R380" s="3">
        <v>0</v>
      </c>
      <c r="S380" s="3" t="s">
        <v>220</v>
      </c>
      <c r="T380" s="3" t="s">
        <v>381</v>
      </c>
      <c r="U380" s="3">
        <v>0</v>
      </c>
      <c r="V380" s="3">
        <v>55</v>
      </c>
      <c r="W380" s="3">
        <v>20</v>
      </c>
    </row>
    <row r="381" spans="1:23" ht="11.25" customHeight="1" x14ac:dyDescent="0.25">
      <c r="A381" s="3" t="s">
        <v>28</v>
      </c>
      <c r="B381" s="3" t="s">
        <v>43</v>
      </c>
      <c r="C381" s="3" t="s">
        <v>23</v>
      </c>
      <c r="D381" s="3" t="s">
        <v>44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3.8839999999999999</v>
      </c>
      <c r="M381" s="4">
        <v>3.8839999999999999</v>
      </c>
      <c r="N381" s="4">
        <v>3.8839999999999999</v>
      </c>
      <c r="O381" s="4">
        <v>3.8839999999999999</v>
      </c>
      <c r="P381" s="4">
        <v>12</v>
      </c>
      <c r="Q381" s="3" t="s">
        <v>26</v>
      </c>
      <c r="R381" s="3">
        <v>0</v>
      </c>
      <c r="S381" s="3" t="s">
        <v>220</v>
      </c>
      <c r="T381" s="3" t="s">
        <v>381</v>
      </c>
      <c r="U381" s="3">
        <v>0</v>
      </c>
      <c r="V381" s="3">
        <v>55</v>
      </c>
      <c r="W381" s="3">
        <v>20</v>
      </c>
    </row>
    <row r="382" spans="1:23" ht="11.25" customHeight="1" x14ac:dyDescent="0.25">
      <c r="A382" s="3" t="s">
        <v>21</v>
      </c>
      <c r="B382" s="3" t="s">
        <v>43</v>
      </c>
      <c r="C382" s="3" t="s">
        <v>23</v>
      </c>
      <c r="D382" s="3" t="s">
        <v>44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228.16300000000001</v>
      </c>
      <c r="M382" s="4">
        <v>228.16300000000001</v>
      </c>
      <c r="N382" s="4">
        <v>228.16300000000001</v>
      </c>
      <c r="O382" s="4">
        <v>228.16300000000001</v>
      </c>
      <c r="P382" s="4">
        <v>756</v>
      </c>
      <c r="Q382" s="3" t="s">
        <v>26</v>
      </c>
      <c r="R382" s="3">
        <v>0</v>
      </c>
      <c r="S382" s="3" t="s">
        <v>221</v>
      </c>
      <c r="T382" s="3" t="s">
        <v>382</v>
      </c>
      <c r="U382" s="3">
        <v>0</v>
      </c>
      <c r="V382" s="3">
        <v>55</v>
      </c>
      <c r="W382" s="3">
        <v>20</v>
      </c>
    </row>
    <row r="383" spans="1:23" ht="11.25" customHeight="1" x14ac:dyDescent="0.25">
      <c r="A383" s="3" t="s">
        <v>27</v>
      </c>
      <c r="B383" s="3" t="s">
        <v>43</v>
      </c>
      <c r="C383" s="3" t="s">
        <v>23</v>
      </c>
      <c r="D383" s="3" t="s">
        <v>44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-0.50800000000000001</v>
      </c>
      <c r="M383" s="4">
        <v>-0.50800000000000001</v>
      </c>
      <c r="N383" s="4">
        <v>-0.50800000000000001</v>
      </c>
      <c r="O383" s="4">
        <v>-0.50800000000000001</v>
      </c>
      <c r="P383" s="4">
        <v>0</v>
      </c>
      <c r="Q383" s="3" t="s">
        <v>26</v>
      </c>
      <c r="R383" s="3">
        <v>0</v>
      </c>
      <c r="S383" s="3" t="s">
        <v>221</v>
      </c>
      <c r="T383" s="3" t="s">
        <v>382</v>
      </c>
      <c r="U383" s="3">
        <v>0</v>
      </c>
      <c r="V383" s="3">
        <v>55</v>
      </c>
      <c r="W383" s="3">
        <v>20</v>
      </c>
    </row>
    <row r="384" spans="1:23" ht="11.25" customHeight="1" x14ac:dyDescent="0.25">
      <c r="A384" s="3" t="s">
        <v>28</v>
      </c>
      <c r="B384" s="3" t="s">
        <v>43</v>
      </c>
      <c r="C384" s="3" t="s">
        <v>23</v>
      </c>
      <c r="D384" s="3" t="s">
        <v>44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44713</v>
      </c>
      <c r="J384" s="4">
        <v>0</v>
      </c>
      <c r="K384" s="4">
        <v>0</v>
      </c>
      <c r="L384" s="4">
        <v>5.6390000000000002</v>
      </c>
      <c r="M384" s="4">
        <v>5.6390000000000002</v>
      </c>
      <c r="N384" s="4">
        <v>5.6390000000000002</v>
      </c>
      <c r="O384" s="4">
        <v>5.6390000000000002</v>
      </c>
      <c r="P384" s="4">
        <v>12</v>
      </c>
      <c r="Q384" s="3" t="s">
        <v>26</v>
      </c>
      <c r="R384" s="3">
        <v>0</v>
      </c>
      <c r="S384" s="3" t="s">
        <v>221</v>
      </c>
      <c r="T384" s="3" t="s">
        <v>382</v>
      </c>
      <c r="U384" s="3">
        <v>0</v>
      </c>
      <c r="V384" s="3">
        <v>55</v>
      </c>
      <c r="W384" s="3">
        <v>20</v>
      </c>
    </row>
    <row r="385" spans="1:23" ht="11.25" customHeight="1" x14ac:dyDescent="0.25">
      <c r="A385" s="3" t="s">
        <v>21</v>
      </c>
      <c r="B385" s="3" t="s">
        <v>43</v>
      </c>
      <c r="C385" s="3" t="s">
        <v>23</v>
      </c>
      <c r="D385" s="3" t="s">
        <v>44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214.50700000000001</v>
      </c>
      <c r="M385" s="4">
        <v>214.50700000000001</v>
      </c>
      <c r="N385" s="4">
        <v>214.50700000000001</v>
      </c>
      <c r="O385" s="4">
        <v>214.50700000000001</v>
      </c>
      <c r="P385" s="4">
        <v>750</v>
      </c>
      <c r="Q385" s="3" t="s">
        <v>26</v>
      </c>
      <c r="R385" s="3">
        <v>0</v>
      </c>
      <c r="S385" s="3" t="s">
        <v>222</v>
      </c>
      <c r="T385" s="3" t="s">
        <v>383</v>
      </c>
      <c r="U385" s="3">
        <v>0</v>
      </c>
      <c r="V385" s="3">
        <v>55</v>
      </c>
      <c r="W385" s="3">
        <v>20</v>
      </c>
    </row>
    <row r="386" spans="1:23" ht="11.25" customHeight="1" x14ac:dyDescent="0.25">
      <c r="A386" s="3" t="s">
        <v>28</v>
      </c>
      <c r="B386" s="3" t="s">
        <v>43</v>
      </c>
      <c r="C386" s="3" t="s">
        <v>23</v>
      </c>
      <c r="D386" s="3" t="s">
        <v>44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44743</v>
      </c>
      <c r="J386" s="4">
        <v>0</v>
      </c>
      <c r="K386" s="4">
        <v>0</v>
      </c>
      <c r="L386" s="4">
        <v>5.5209999999999999</v>
      </c>
      <c r="M386" s="4">
        <v>5.5209999999999999</v>
      </c>
      <c r="N386" s="4">
        <v>5.5209999999999999</v>
      </c>
      <c r="O386" s="4">
        <v>5.5209999999999999</v>
      </c>
      <c r="P386" s="4">
        <v>12</v>
      </c>
      <c r="Q386" s="3" t="s">
        <v>26</v>
      </c>
      <c r="R386" s="3">
        <v>0</v>
      </c>
      <c r="S386" s="3" t="s">
        <v>222</v>
      </c>
      <c r="T386" s="3" t="s">
        <v>383</v>
      </c>
      <c r="U386" s="3">
        <v>0</v>
      </c>
      <c r="V386" s="3">
        <v>55</v>
      </c>
      <c r="W386" s="3">
        <v>20</v>
      </c>
    </row>
    <row r="387" spans="1:23" ht="11.25" customHeight="1" x14ac:dyDescent="0.25">
      <c r="A387" s="3" t="s">
        <v>55</v>
      </c>
      <c r="B387" s="3" t="s">
        <v>43</v>
      </c>
      <c r="C387" s="3" t="s">
        <v>23</v>
      </c>
      <c r="D387" s="3" t="s">
        <v>44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214.50700000000001</v>
      </c>
      <c r="M387" s="4">
        <v>214.50700000000001</v>
      </c>
      <c r="N387" s="4">
        <v>214.50700000000001</v>
      </c>
      <c r="O387" s="4">
        <v>214.50700000000001</v>
      </c>
      <c r="P387" s="4">
        <v>750</v>
      </c>
      <c r="Q387" s="3" t="s">
        <v>26</v>
      </c>
      <c r="R387" s="3">
        <v>0</v>
      </c>
      <c r="S387" s="3" t="s">
        <v>223</v>
      </c>
      <c r="T387" s="3" t="s">
        <v>384</v>
      </c>
      <c r="U387" s="3">
        <v>0</v>
      </c>
      <c r="V387" s="3">
        <v>55</v>
      </c>
      <c r="W387" s="3">
        <v>20</v>
      </c>
    </row>
    <row r="388" spans="1:23" ht="11.25" customHeight="1" x14ac:dyDescent="0.25">
      <c r="A388" s="3" t="s">
        <v>55</v>
      </c>
      <c r="B388" s="3" t="s">
        <v>43</v>
      </c>
      <c r="C388" s="3" t="s">
        <v>23</v>
      </c>
      <c r="D388" s="3" t="s">
        <v>44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44774</v>
      </c>
      <c r="J388" s="4">
        <v>0</v>
      </c>
      <c r="K388" s="4">
        <v>0</v>
      </c>
      <c r="L388" s="4">
        <v>5.5209999999999999</v>
      </c>
      <c r="M388" s="4">
        <v>5.5209999999999999</v>
      </c>
      <c r="N388" s="4">
        <v>5.5209999999999999</v>
      </c>
      <c r="O388" s="4">
        <v>5.5209999999999999</v>
      </c>
      <c r="P388" s="4">
        <v>12</v>
      </c>
      <c r="Q388" s="3" t="s">
        <v>26</v>
      </c>
      <c r="R388" s="3">
        <v>0</v>
      </c>
      <c r="S388" s="3" t="s">
        <v>223</v>
      </c>
      <c r="T388" s="3" t="s">
        <v>384</v>
      </c>
      <c r="U388" s="3">
        <v>0</v>
      </c>
      <c r="V388" s="3">
        <v>55</v>
      </c>
      <c r="W388" s="3">
        <v>20</v>
      </c>
    </row>
    <row r="389" spans="1:23" ht="11.25" customHeight="1" x14ac:dyDescent="0.25">
      <c r="A389" s="3" t="s">
        <v>21</v>
      </c>
      <c r="B389" s="3" t="s">
        <v>33</v>
      </c>
      <c r="C389" s="3" t="s">
        <v>41</v>
      </c>
      <c r="D389" s="3" t="s">
        <v>40</v>
      </c>
      <c r="E389" s="3" t="s">
        <v>25</v>
      </c>
      <c r="F389" s="3" t="s">
        <v>25</v>
      </c>
      <c r="G389" s="3" t="s">
        <v>25</v>
      </c>
      <c r="H389" s="3" t="s">
        <v>38</v>
      </c>
      <c r="I389" s="6">
        <v>44440</v>
      </c>
      <c r="J389" s="4">
        <v>0</v>
      </c>
      <c r="K389" s="4">
        <v>0</v>
      </c>
      <c r="L389" s="4">
        <v>7.0810000000000004</v>
      </c>
      <c r="M389" s="4">
        <v>7.0810000000000004</v>
      </c>
      <c r="N389" s="4">
        <v>7.0810000000000004</v>
      </c>
      <c r="O389" s="4">
        <v>7.0810000000000004</v>
      </c>
      <c r="P389" s="4">
        <v>0</v>
      </c>
      <c r="Q389" s="3" t="s">
        <v>26</v>
      </c>
      <c r="R389" s="3">
        <v>0</v>
      </c>
      <c r="S389" s="3" t="s">
        <v>224</v>
      </c>
      <c r="T389" s="3" t="s">
        <v>385</v>
      </c>
      <c r="U389" s="3">
        <v>0</v>
      </c>
      <c r="V389" s="3">
        <v>59</v>
      </c>
      <c r="W389" s="3">
        <v>2</v>
      </c>
    </row>
    <row r="390" spans="1:23" ht="11.25" customHeight="1" x14ac:dyDescent="0.25">
      <c r="A390" s="3" t="s">
        <v>21</v>
      </c>
      <c r="B390" s="3" t="s">
        <v>33</v>
      </c>
      <c r="C390" s="3" t="s">
        <v>41</v>
      </c>
      <c r="D390" s="3" t="s">
        <v>40</v>
      </c>
      <c r="E390" s="3" t="s">
        <v>25</v>
      </c>
      <c r="F390" s="3" t="s">
        <v>25</v>
      </c>
      <c r="G390" s="3" t="s">
        <v>25</v>
      </c>
      <c r="H390" s="3" t="s">
        <v>38</v>
      </c>
      <c r="I390" s="6">
        <v>44470</v>
      </c>
      <c r="J390" s="4">
        <v>0</v>
      </c>
      <c r="K390" s="4">
        <v>0</v>
      </c>
      <c r="L390" s="4">
        <v>5.37</v>
      </c>
      <c r="M390" s="4">
        <v>5.37</v>
      </c>
      <c r="N390" s="4">
        <v>5.37</v>
      </c>
      <c r="O390" s="4">
        <v>5.37</v>
      </c>
      <c r="P390" s="4">
        <v>0</v>
      </c>
      <c r="Q390" s="3" t="s">
        <v>26</v>
      </c>
      <c r="R390" s="3">
        <v>0</v>
      </c>
      <c r="S390" s="3" t="s">
        <v>225</v>
      </c>
      <c r="T390" s="3" t="s">
        <v>386</v>
      </c>
      <c r="U390" s="3">
        <v>0</v>
      </c>
      <c r="V390" s="3">
        <v>59</v>
      </c>
      <c r="W390" s="3">
        <v>2</v>
      </c>
    </row>
    <row r="391" spans="1:23" ht="11.25" customHeight="1" x14ac:dyDescent="0.25">
      <c r="A391" s="3" t="s">
        <v>21</v>
      </c>
      <c r="B391" s="3" t="s">
        <v>33</v>
      </c>
      <c r="C391" s="3" t="s">
        <v>41</v>
      </c>
      <c r="D391" s="3" t="s">
        <v>40</v>
      </c>
      <c r="E391" s="3" t="s">
        <v>25</v>
      </c>
      <c r="F391" s="3" t="s">
        <v>25</v>
      </c>
      <c r="G391" s="3" t="s">
        <v>25</v>
      </c>
      <c r="H391" s="3" t="s">
        <v>38</v>
      </c>
      <c r="I391" s="6">
        <v>44501</v>
      </c>
      <c r="J391" s="4">
        <v>0</v>
      </c>
      <c r="K391" s="4">
        <v>0</v>
      </c>
      <c r="L391" s="4">
        <v>5.657</v>
      </c>
      <c r="M391" s="4">
        <v>5.657</v>
      </c>
      <c r="N391" s="4">
        <v>5.657</v>
      </c>
      <c r="O391" s="4">
        <v>5.657</v>
      </c>
      <c r="P391" s="4">
        <v>0</v>
      </c>
      <c r="Q391" s="3" t="s">
        <v>26</v>
      </c>
      <c r="R391" s="3">
        <v>0</v>
      </c>
      <c r="S391" s="3" t="s">
        <v>226</v>
      </c>
      <c r="T391" s="3" t="s">
        <v>387</v>
      </c>
      <c r="U391" s="3">
        <v>0</v>
      </c>
      <c r="V391" s="3">
        <v>59</v>
      </c>
      <c r="W391" s="3">
        <v>2</v>
      </c>
    </row>
    <row r="392" spans="1:23" ht="11.25" customHeight="1" x14ac:dyDescent="0.25">
      <c r="A392" s="3" t="s">
        <v>21</v>
      </c>
      <c r="B392" s="3" t="s">
        <v>33</v>
      </c>
      <c r="C392" s="3" t="s">
        <v>41</v>
      </c>
      <c r="D392" s="3" t="s">
        <v>40</v>
      </c>
      <c r="E392" s="3" t="s">
        <v>25</v>
      </c>
      <c r="F392" s="3" t="s">
        <v>25</v>
      </c>
      <c r="G392" s="3" t="s">
        <v>25</v>
      </c>
      <c r="H392" s="3" t="s">
        <v>38</v>
      </c>
      <c r="I392" s="6">
        <v>44531</v>
      </c>
      <c r="J392" s="4">
        <v>0</v>
      </c>
      <c r="K392" s="4">
        <v>0</v>
      </c>
      <c r="L392" s="4">
        <v>9.1059999999999999</v>
      </c>
      <c r="M392" s="4">
        <v>9.1059999999999999</v>
      </c>
      <c r="N392" s="4">
        <v>9.1059999999999999</v>
      </c>
      <c r="O392" s="4">
        <v>9.1059999999999999</v>
      </c>
      <c r="P392" s="4">
        <v>0</v>
      </c>
      <c r="Q392" s="3" t="s">
        <v>26</v>
      </c>
      <c r="R392" s="3">
        <v>0</v>
      </c>
      <c r="S392" s="3" t="s">
        <v>227</v>
      </c>
      <c r="T392" s="3" t="s">
        <v>388</v>
      </c>
      <c r="U392" s="3">
        <v>0</v>
      </c>
      <c r="V392" s="3">
        <v>59</v>
      </c>
      <c r="W392" s="3">
        <v>2</v>
      </c>
    </row>
    <row r="393" spans="1:23" ht="11.25" customHeight="1" x14ac:dyDescent="0.25">
      <c r="A393" s="3" t="s">
        <v>21</v>
      </c>
      <c r="B393" s="3" t="s">
        <v>33</v>
      </c>
      <c r="C393" s="3" t="s">
        <v>41</v>
      </c>
      <c r="D393" s="3" t="s">
        <v>40</v>
      </c>
      <c r="E393" s="3" t="s">
        <v>25</v>
      </c>
      <c r="F393" s="3" t="s">
        <v>25</v>
      </c>
      <c r="G393" s="3" t="s">
        <v>25</v>
      </c>
      <c r="H393" s="3" t="s">
        <v>38</v>
      </c>
      <c r="I393" s="6">
        <v>44562</v>
      </c>
      <c r="J393" s="4">
        <v>0</v>
      </c>
      <c r="K393" s="4">
        <v>0</v>
      </c>
      <c r="L393" s="4">
        <v>8.2840000000000007</v>
      </c>
      <c r="M393" s="4">
        <v>8.2840000000000007</v>
      </c>
      <c r="N393" s="4">
        <v>8.2840000000000007</v>
      </c>
      <c r="O393" s="4">
        <v>8.2840000000000007</v>
      </c>
      <c r="P393" s="4">
        <v>0</v>
      </c>
      <c r="Q393" s="3" t="s">
        <v>26</v>
      </c>
      <c r="R393" s="3">
        <v>0</v>
      </c>
      <c r="S393" s="3" t="s">
        <v>228</v>
      </c>
      <c r="T393" s="3" t="s">
        <v>389</v>
      </c>
      <c r="U393" s="3">
        <v>0</v>
      </c>
      <c r="V393" s="3">
        <v>59</v>
      </c>
      <c r="W393" s="3">
        <v>2</v>
      </c>
    </row>
    <row r="394" spans="1:23" ht="11.25" customHeight="1" x14ac:dyDescent="0.25">
      <c r="A394" s="3" t="s">
        <v>21</v>
      </c>
      <c r="B394" s="3" t="s">
        <v>33</v>
      </c>
      <c r="C394" s="3" t="s">
        <v>41</v>
      </c>
      <c r="D394" s="3" t="s">
        <v>40</v>
      </c>
      <c r="E394" s="3" t="s">
        <v>25</v>
      </c>
      <c r="F394" s="3" t="s">
        <v>25</v>
      </c>
      <c r="G394" s="3" t="s">
        <v>25</v>
      </c>
      <c r="H394" s="3" t="s">
        <v>38</v>
      </c>
      <c r="I394" s="6">
        <v>44593</v>
      </c>
      <c r="J394" s="4">
        <v>0</v>
      </c>
      <c r="K394" s="4">
        <v>0</v>
      </c>
      <c r="L394" s="4">
        <v>8.5079999999999991</v>
      </c>
      <c r="M394" s="4">
        <v>8.5079999999999991</v>
      </c>
      <c r="N394" s="4">
        <v>8.5079999999999991</v>
      </c>
      <c r="O394" s="4">
        <v>8.5079999999999991</v>
      </c>
      <c r="P394" s="4">
        <v>0</v>
      </c>
      <c r="Q394" s="3" t="s">
        <v>26</v>
      </c>
      <c r="R394" s="3">
        <v>0</v>
      </c>
      <c r="S394" s="3" t="s">
        <v>229</v>
      </c>
      <c r="T394" s="3" t="s">
        <v>390</v>
      </c>
      <c r="U394" s="3">
        <v>0</v>
      </c>
      <c r="V394" s="3">
        <v>59</v>
      </c>
      <c r="W394" s="3">
        <v>2</v>
      </c>
    </row>
    <row r="395" spans="1:23" ht="11.25" customHeight="1" x14ac:dyDescent="0.25">
      <c r="A395" s="3" t="s">
        <v>21</v>
      </c>
      <c r="B395" s="3" t="s">
        <v>33</v>
      </c>
      <c r="C395" s="3" t="s">
        <v>41</v>
      </c>
      <c r="D395" s="3" t="s">
        <v>40</v>
      </c>
      <c r="E395" s="3" t="s">
        <v>25</v>
      </c>
      <c r="F395" s="3" t="s">
        <v>25</v>
      </c>
      <c r="G395" s="3" t="s">
        <v>25</v>
      </c>
      <c r="H395" s="3" t="s">
        <v>38</v>
      </c>
      <c r="I395" s="6">
        <v>44621</v>
      </c>
      <c r="J395" s="4">
        <v>0</v>
      </c>
      <c r="K395" s="4">
        <v>0</v>
      </c>
      <c r="L395" s="4">
        <v>6.3239999999999998</v>
      </c>
      <c r="M395" s="4">
        <v>6.3239999999999998</v>
      </c>
      <c r="N395" s="4">
        <v>6.3239999999999998</v>
      </c>
      <c r="O395" s="4">
        <v>6.3239999999999998</v>
      </c>
      <c r="P395" s="4">
        <v>0</v>
      </c>
      <c r="Q395" s="3" t="s">
        <v>26</v>
      </c>
      <c r="R395" s="3">
        <v>0</v>
      </c>
      <c r="S395" s="3" t="s">
        <v>230</v>
      </c>
      <c r="T395" s="3" t="s">
        <v>391</v>
      </c>
      <c r="U395" s="3">
        <v>0</v>
      </c>
      <c r="V395" s="3">
        <v>59</v>
      </c>
      <c r="W395" s="3">
        <v>2</v>
      </c>
    </row>
    <row r="396" spans="1:23" ht="11.25" customHeight="1" x14ac:dyDescent="0.25">
      <c r="A396" s="3" t="s">
        <v>21</v>
      </c>
      <c r="B396" s="3" t="s">
        <v>33</v>
      </c>
      <c r="C396" s="3" t="s">
        <v>41</v>
      </c>
      <c r="D396" s="3" t="s">
        <v>40</v>
      </c>
      <c r="E396" s="3" t="s">
        <v>25</v>
      </c>
      <c r="F396" s="3" t="s">
        <v>25</v>
      </c>
      <c r="G396" s="3" t="s">
        <v>25</v>
      </c>
      <c r="H396" s="3" t="s">
        <v>38</v>
      </c>
      <c r="I396" s="6">
        <v>44652</v>
      </c>
      <c r="J396" s="4">
        <v>0</v>
      </c>
      <c r="K396" s="4">
        <v>0</v>
      </c>
      <c r="L396" s="4">
        <v>6.3140000000000001</v>
      </c>
      <c r="M396" s="4">
        <v>6.3140000000000001</v>
      </c>
      <c r="N396" s="4">
        <v>6.3140000000000001</v>
      </c>
      <c r="O396" s="4">
        <v>6.3140000000000001</v>
      </c>
      <c r="P396" s="4">
        <v>0</v>
      </c>
      <c r="Q396" s="3" t="s">
        <v>26</v>
      </c>
      <c r="R396" s="3">
        <v>0</v>
      </c>
      <c r="S396" s="3" t="s">
        <v>231</v>
      </c>
      <c r="T396" s="3" t="s">
        <v>392</v>
      </c>
      <c r="U396" s="3">
        <v>0</v>
      </c>
      <c r="V396" s="3">
        <v>59</v>
      </c>
      <c r="W396" s="3">
        <v>2</v>
      </c>
    </row>
    <row r="397" spans="1:23" ht="11.25" customHeight="1" x14ac:dyDescent="0.25">
      <c r="A397" s="3" t="s">
        <v>21</v>
      </c>
      <c r="B397" s="3" t="s">
        <v>33</v>
      </c>
      <c r="C397" s="3" t="s">
        <v>41</v>
      </c>
      <c r="D397" s="3" t="s">
        <v>40</v>
      </c>
      <c r="E397" s="3" t="s">
        <v>25</v>
      </c>
      <c r="F397" s="3" t="s">
        <v>25</v>
      </c>
      <c r="G397" s="3" t="s">
        <v>25</v>
      </c>
      <c r="H397" s="3" t="s">
        <v>38</v>
      </c>
      <c r="I397" s="6">
        <v>44682</v>
      </c>
      <c r="J397" s="4">
        <v>0</v>
      </c>
      <c r="K397" s="4">
        <v>0</v>
      </c>
      <c r="L397" s="4">
        <v>5.226</v>
      </c>
      <c r="M397" s="4">
        <v>5.226</v>
      </c>
      <c r="N397" s="4">
        <v>5.226</v>
      </c>
      <c r="O397" s="4">
        <v>5.226</v>
      </c>
      <c r="P397" s="4">
        <v>0</v>
      </c>
      <c r="Q397" s="3" t="s">
        <v>26</v>
      </c>
      <c r="R397" s="3">
        <v>0</v>
      </c>
      <c r="S397" s="3" t="s">
        <v>232</v>
      </c>
      <c r="T397" s="3" t="s">
        <v>393</v>
      </c>
      <c r="U397" s="3">
        <v>0</v>
      </c>
      <c r="V397" s="3">
        <v>59</v>
      </c>
      <c r="W397" s="3">
        <v>2</v>
      </c>
    </row>
    <row r="398" spans="1:23" ht="11.25" customHeight="1" x14ac:dyDescent="0.25">
      <c r="A398" s="3" t="s">
        <v>21</v>
      </c>
      <c r="B398" s="3" t="s">
        <v>33</v>
      </c>
      <c r="C398" s="3" t="s">
        <v>41</v>
      </c>
      <c r="D398" s="3" t="s">
        <v>40</v>
      </c>
      <c r="E398" s="3" t="s">
        <v>25</v>
      </c>
      <c r="F398" s="3" t="s">
        <v>25</v>
      </c>
      <c r="G398" s="3" t="s">
        <v>25</v>
      </c>
      <c r="H398" s="3" t="s">
        <v>38</v>
      </c>
      <c r="I398" s="6">
        <v>44713</v>
      </c>
      <c r="J398" s="4">
        <v>0</v>
      </c>
      <c r="K398" s="4">
        <v>0</v>
      </c>
      <c r="L398" s="4">
        <v>4.83</v>
      </c>
      <c r="M398" s="4">
        <v>4.83</v>
      </c>
      <c r="N398" s="4">
        <v>4.83</v>
      </c>
      <c r="O398" s="4">
        <v>4.83</v>
      </c>
      <c r="P398" s="4">
        <v>0</v>
      </c>
      <c r="Q398" s="3" t="s">
        <v>26</v>
      </c>
      <c r="R398" s="3">
        <v>0</v>
      </c>
      <c r="S398" s="3" t="s">
        <v>233</v>
      </c>
      <c r="T398" s="3" t="s">
        <v>394</v>
      </c>
      <c r="U398" s="3">
        <v>0</v>
      </c>
      <c r="V398" s="3">
        <v>59</v>
      </c>
      <c r="W398" s="3">
        <v>2</v>
      </c>
    </row>
    <row r="399" spans="1:23" ht="11.25" customHeight="1" x14ac:dyDescent="0.25">
      <c r="A399" s="3" t="s">
        <v>21</v>
      </c>
      <c r="B399" s="3" t="s">
        <v>33</v>
      </c>
      <c r="C399" s="3" t="s">
        <v>41</v>
      </c>
      <c r="D399" s="3" t="s">
        <v>40</v>
      </c>
      <c r="E399" s="3" t="s">
        <v>25</v>
      </c>
      <c r="F399" s="3" t="s">
        <v>25</v>
      </c>
      <c r="G399" s="3" t="s">
        <v>25</v>
      </c>
      <c r="H399" s="3" t="s">
        <v>38</v>
      </c>
      <c r="I399" s="6">
        <v>44743</v>
      </c>
      <c r="J399" s="4">
        <v>0</v>
      </c>
      <c r="K399" s="4">
        <v>0</v>
      </c>
      <c r="L399" s="4">
        <v>3.302</v>
      </c>
      <c r="M399" s="4">
        <v>3.302</v>
      </c>
      <c r="N399" s="4">
        <v>3.302</v>
      </c>
      <c r="O399" s="4">
        <v>3.302</v>
      </c>
      <c r="P399" s="4">
        <v>0</v>
      </c>
      <c r="Q399" s="3" t="s">
        <v>26</v>
      </c>
      <c r="R399" s="3">
        <v>0</v>
      </c>
      <c r="S399" s="3" t="s">
        <v>234</v>
      </c>
      <c r="T399" s="3" t="s">
        <v>395</v>
      </c>
      <c r="U399" s="3">
        <v>0</v>
      </c>
      <c r="V399" s="3">
        <v>59</v>
      </c>
      <c r="W399" s="3">
        <v>2</v>
      </c>
    </row>
    <row r="400" spans="1:23" ht="11.25" customHeight="1" x14ac:dyDescent="0.25">
      <c r="A400" s="3" t="s">
        <v>55</v>
      </c>
      <c r="B400" s="3" t="s">
        <v>33</v>
      </c>
      <c r="C400" s="3" t="s">
        <v>41</v>
      </c>
      <c r="D400" s="3" t="s">
        <v>40</v>
      </c>
      <c r="E400" s="3" t="s">
        <v>25</v>
      </c>
      <c r="F400" s="3" t="s">
        <v>25</v>
      </c>
      <c r="G400" s="3" t="s">
        <v>25</v>
      </c>
      <c r="H400" s="3" t="s">
        <v>38</v>
      </c>
      <c r="I400" s="6">
        <v>44774</v>
      </c>
      <c r="J400" s="4">
        <v>0</v>
      </c>
      <c r="K400" s="4">
        <v>0</v>
      </c>
      <c r="L400" s="4">
        <v>3.302</v>
      </c>
      <c r="M400" s="4">
        <v>3.302</v>
      </c>
      <c r="N400" s="4">
        <v>3.302</v>
      </c>
      <c r="O400" s="4">
        <v>3.302</v>
      </c>
      <c r="P400" s="4">
        <v>0</v>
      </c>
      <c r="Q400" s="3" t="s">
        <v>26</v>
      </c>
      <c r="R400" s="3">
        <v>0</v>
      </c>
      <c r="S400" s="3" t="s">
        <v>235</v>
      </c>
      <c r="T400" s="3" t="s">
        <v>396</v>
      </c>
      <c r="U400" s="3">
        <v>0</v>
      </c>
      <c r="V400" s="3">
        <v>59</v>
      </c>
      <c r="W400" s="3">
        <v>2</v>
      </c>
    </row>
    <row r="401" spans="1:23" ht="11.25" customHeight="1" x14ac:dyDescent="0.25">
      <c r="A401" s="3" t="s">
        <v>21</v>
      </c>
      <c r="B401" s="3" t="s">
        <v>33</v>
      </c>
      <c r="C401" s="3" t="s">
        <v>41</v>
      </c>
      <c r="D401" s="3" t="s">
        <v>40</v>
      </c>
      <c r="E401" s="3" t="s">
        <v>25</v>
      </c>
      <c r="F401" s="3" t="s">
        <v>25</v>
      </c>
      <c r="G401" s="3" t="s">
        <v>25</v>
      </c>
      <c r="H401" s="3" t="s">
        <v>42</v>
      </c>
      <c r="I401" s="6">
        <v>44440</v>
      </c>
      <c r="J401" s="4">
        <v>0</v>
      </c>
      <c r="K401" s="4">
        <v>0</v>
      </c>
      <c r="L401" s="4">
        <v>0.08</v>
      </c>
      <c r="M401" s="4">
        <v>0.08</v>
      </c>
      <c r="N401" s="4">
        <v>0.08</v>
      </c>
      <c r="O401" s="4">
        <v>0.08</v>
      </c>
      <c r="P401" s="4">
        <v>0</v>
      </c>
      <c r="Q401" s="3" t="s">
        <v>26</v>
      </c>
      <c r="R401" s="3">
        <v>0</v>
      </c>
      <c r="S401" s="3" t="s">
        <v>236</v>
      </c>
      <c r="T401" s="3" t="s">
        <v>397</v>
      </c>
      <c r="U401" s="3">
        <v>0</v>
      </c>
      <c r="V401" s="3">
        <v>56</v>
      </c>
      <c r="W401" s="3">
        <v>21</v>
      </c>
    </row>
    <row r="402" spans="1:23" ht="11.25" customHeight="1" x14ac:dyDescent="0.25">
      <c r="A402" s="3" t="s">
        <v>21</v>
      </c>
      <c r="B402" s="3" t="s">
        <v>33</v>
      </c>
      <c r="C402" s="3" t="s">
        <v>41</v>
      </c>
      <c r="D402" s="3" t="s">
        <v>40</v>
      </c>
      <c r="E402" s="3" t="s">
        <v>25</v>
      </c>
      <c r="F402" s="3" t="s">
        <v>25</v>
      </c>
      <c r="G402" s="3" t="s">
        <v>25</v>
      </c>
      <c r="H402" s="3" t="s">
        <v>42</v>
      </c>
      <c r="I402" s="6">
        <v>44470</v>
      </c>
      <c r="J402" s="4">
        <v>0</v>
      </c>
      <c r="K402" s="4">
        <v>0</v>
      </c>
      <c r="L402" s="4">
        <v>9.5000000000000001E-2</v>
      </c>
      <c r="M402" s="4">
        <v>9.5000000000000001E-2</v>
      </c>
      <c r="N402" s="4">
        <v>9.5000000000000001E-2</v>
      </c>
      <c r="O402" s="4">
        <v>9.5000000000000001E-2</v>
      </c>
      <c r="P402" s="4">
        <v>0</v>
      </c>
      <c r="Q402" s="3" t="s">
        <v>26</v>
      </c>
      <c r="R402" s="3">
        <v>0</v>
      </c>
      <c r="S402" s="3" t="s">
        <v>237</v>
      </c>
      <c r="T402" s="3" t="s">
        <v>398</v>
      </c>
      <c r="U402" s="3">
        <v>0</v>
      </c>
      <c r="V402" s="3">
        <v>56</v>
      </c>
      <c r="W402" s="3">
        <v>21</v>
      </c>
    </row>
    <row r="403" spans="1:23" ht="11.25" customHeight="1" x14ac:dyDescent="0.25">
      <c r="A403" s="3" t="s">
        <v>21</v>
      </c>
      <c r="B403" s="3" t="s">
        <v>33</v>
      </c>
      <c r="C403" s="3" t="s">
        <v>41</v>
      </c>
      <c r="D403" s="3" t="s">
        <v>40</v>
      </c>
      <c r="E403" s="3" t="s">
        <v>25</v>
      </c>
      <c r="F403" s="3" t="s">
        <v>25</v>
      </c>
      <c r="G403" s="3" t="s">
        <v>25</v>
      </c>
      <c r="H403" s="3" t="s">
        <v>42</v>
      </c>
      <c r="I403" s="6">
        <v>44501</v>
      </c>
      <c r="J403" s="4">
        <v>0</v>
      </c>
      <c r="K403" s="4">
        <v>0</v>
      </c>
      <c r="L403" s="4">
        <v>0.104</v>
      </c>
      <c r="M403" s="4">
        <v>0.104</v>
      </c>
      <c r="N403" s="4">
        <v>0.104</v>
      </c>
      <c r="O403" s="4">
        <v>0.104</v>
      </c>
      <c r="P403" s="4">
        <v>0</v>
      </c>
      <c r="Q403" s="3" t="s">
        <v>26</v>
      </c>
      <c r="R403" s="3">
        <v>0</v>
      </c>
      <c r="S403" s="3" t="s">
        <v>238</v>
      </c>
      <c r="T403" s="3" t="s">
        <v>399</v>
      </c>
      <c r="U403" s="3">
        <v>0</v>
      </c>
      <c r="V403" s="3">
        <v>56</v>
      </c>
      <c r="W403" s="3">
        <v>21</v>
      </c>
    </row>
    <row r="404" spans="1:23" ht="11.25" customHeight="1" x14ac:dyDescent="0.25">
      <c r="A404" s="3" t="s">
        <v>21</v>
      </c>
      <c r="B404" s="3" t="s">
        <v>33</v>
      </c>
      <c r="C404" s="3" t="s">
        <v>41</v>
      </c>
      <c r="D404" s="3" t="s">
        <v>40</v>
      </c>
      <c r="E404" s="3" t="s">
        <v>25</v>
      </c>
      <c r="F404" s="3" t="s">
        <v>25</v>
      </c>
      <c r="G404" s="3" t="s">
        <v>25</v>
      </c>
      <c r="H404" s="3" t="s">
        <v>42</v>
      </c>
      <c r="I404" s="6">
        <v>44531</v>
      </c>
      <c r="J404" s="4">
        <v>0</v>
      </c>
      <c r="K404" s="4">
        <v>0</v>
      </c>
      <c r="L404" s="4">
        <v>0.26700000000000002</v>
      </c>
      <c r="M404" s="4">
        <v>0.26700000000000002</v>
      </c>
      <c r="N404" s="4">
        <v>0.26700000000000002</v>
      </c>
      <c r="O404" s="4">
        <v>0.26700000000000002</v>
      </c>
      <c r="P404" s="4">
        <v>0</v>
      </c>
      <c r="Q404" s="3" t="s">
        <v>26</v>
      </c>
      <c r="R404" s="3">
        <v>0</v>
      </c>
      <c r="S404" s="3" t="s">
        <v>239</v>
      </c>
      <c r="T404" s="3" t="s">
        <v>400</v>
      </c>
      <c r="U404" s="3">
        <v>0</v>
      </c>
      <c r="V404" s="3">
        <v>56</v>
      </c>
      <c r="W404" s="3">
        <v>21</v>
      </c>
    </row>
    <row r="405" spans="1:23" ht="11.25" customHeight="1" x14ac:dyDescent="0.25">
      <c r="A405" s="3" t="s">
        <v>21</v>
      </c>
      <c r="B405" s="3" t="s">
        <v>33</v>
      </c>
      <c r="C405" s="3" t="s">
        <v>41</v>
      </c>
      <c r="D405" s="3" t="s">
        <v>40</v>
      </c>
      <c r="E405" s="3" t="s">
        <v>25</v>
      </c>
      <c r="F405" s="3" t="s">
        <v>25</v>
      </c>
      <c r="G405" s="3" t="s">
        <v>25</v>
      </c>
      <c r="H405" s="3" t="s">
        <v>42</v>
      </c>
      <c r="I405" s="6">
        <v>44562</v>
      </c>
      <c r="J405" s="4">
        <v>0</v>
      </c>
      <c r="K405" s="4">
        <v>0</v>
      </c>
      <c r="L405" s="4">
        <v>0.26400000000000001</v>
      </c>
      <c r="M405" s="4">
        <v>0.26400000000000001</v>
      </c>
      <c r="N405" s="4">
        <v>0.26400000000000001</v>
      </c>
      <c r="O405" s="4">
        <v>0.26400000000000001</v>
      </c>
      <c r="P405" s="4">
        <v>0</v>
      </c>
      <c r="Q405" s="3" t="s">
        <v>26</v>
      </c>
      <c r="R405" s="3">
        <v>0</v>
      </c>
      <c r="S405" s="3" t="s">
        <v>240</v>
      </c>
      <c r="T405" s="3" t="s">
        <v>401</v>
      </c>
      <c r="U405" s="3">
        <v>0</v>
      </c>
      <c r="V405" s="3">
        <v>56</v>
      </c>
      <c r="W405" s="3">
        <v>21</v>
      </c>
    </row>
    <row r="406" spans="1:23" ht="11.25" customHeight="1" x14ac:dyDescent="0.25">
      <c r="A406" s="3" t="s">
        <v>21</v>
      </c>
      <c r="B406" s="3" t="s">
        <v>33</v>
      </c>
      <c r="C406" s="3" t="s">
        <v>41</v>
      </c>
      <c r="D406" s="3" t="s">
        <v>40</v>
      </c>
      <c r="E406" s="3" t="s">
        <v>25</v>
      </c>
      <c r="F406" s="3" t="s">
        <v>25</v>
      </c>
      <c r="G406" s="3" t="s">
        <v>25</v>
      </c>
      <c r="H406" s="3" t="s">
        <v>42</v>
      </c>
      <c r="I406" s="6">
        <v>44593</v>
      </c>
      <c r="J406" s="4">
        <v>0</v>
      </c>
      <c r="K406" s="4">
        <v>0</v>
      </c>
      <c r="L406" s="4">
        <v>0.20699999999999999</v>
      </c>
      <c r="M406" s="4">
        <v>0.20699999999999999</v>
      </c>
      <c r="N406" s="4">
        <v>0.20699999999999999</v>
      </c>
      <c r="O406" s="4">
        <v>0.20699999999999999</v>
      </c>
      <c r="P406" s="4">
        <v>0</v>
      </c>
      <c r="Q406" s="3" t="s">
        <v>26</v>
      </c>
      <c r="R406" s="3">
        <v>0</v>
      </c>
      <c r="S406" s="3" t="s">
        <v>241</v>
      </c>
      <c r="T406" s="3" t="s">
        <v>402</v>
      </c>
      <c r="U406" s="3">
        <v>0</v>
      </c>
      <c r="V406" s="3">
        <v>56</v>
      </c>
      <c r="W406" s="3">
        <v>21</v>
      </c>
    </row>
    <row r="407" spans="1:23" ht="11.25" customHeight="1" x14ac:dyDescent="0.25">
      <c r="A407" s="3" t="s">
        <v>21</v>
      </c>
      <c r="B407" s="3" t="s">
        <v>33</v>
      </c>
      <c r="C407" s="3" t="s">
        <v>41</v>
      </c>
      <c r="D407" s="3" t="s">
        <v>40</v>
      </c>
      <c r="E407" s="3" t="s">
        <v>25</v>
      </c>
      <c r="F407" s="3" t="s">
        <v>25</v>
      </c>
      <c r="G407" s="3" t="s">
        <v>25</v>
      </c>
      <c r="H407" s="3" t="s">
        <v>42</v>
      </c>
      <c r="I407" s="6">
        <v>44621</v>
      </c>
      <c r="J407" s="4">
        <v>0</v>
      </c>
      <c r="K407" s="4">
        <v>0</v>
      </c>
      <c r="L407" s="4">
        <v>0.161</v>
      </c>
      <c r="M407" s="4">
        <v>0.161</v>
      </c>
      <c r="N407" s="4">
        <v>0.161</v>
      </c>
      <c r="O407" s="4">
        <v>0.161</v>
      </c>
      <c r="P407" s="4">
        <v>0</v>
      </c>
      <c r="Q407" s="3" t="s">
        <v>26</v>
      </c>
      <c r="R407" s="3">
        <v>0</v>
      </c>
      <c r="S407" s="3" t="s">
        <v>242</v>
      </c>
      <c r="T407" s="3" t="s">
        <v>403</v>
      </c>
      <c r="U407" s="3">
        <v>0</v>
      </c>
      <c r="V407" s="3">
        <v>56</v>
      </c>
      <c r="W407" s="3">
        <v>21</v>
      </c>
    </row>
    <row r="408" spans="1:23" ht="11.25" customHeight="1" x14ac:dyDescent="0.25">
      <c r="A408" s="3" t="s">
        <v>21</v>
      </c>
      <c r="B408" s="3" t="s">
        <v>33</v>
      </c>
      <c r="C408" s="3" t="s">
        <v>41</v>
      </c>
      <c r="D408" s="3" t="s">
        <v>40</v>
      </c>
      <c r="E408" s="3" t="s">
        <v>25</v>
      </c>
      <c r="F408" s="3" t="s">
        <v>25</v>
      </c>
      <c r="G408" s="3" t="s">
        <v>25</v>
      </c>
      <c r="H408" s="3" t="s">
        <v>42</v>
      </c>
      <c r="I408" s="6">
        <v>44652</v>
      </c>
      <c r="J408" s="4">
        <v>0</v>
      </c>
      <c r="K408" s="4">
        <v>0</v>
      </c>
      <c r="L408" s="4">
        <v>0.1</v>
      </c>
      <c r="M408" s="4">
        <v>0.1</v>
      </c>
      <c r="N408" s="4">
        <v>0.1</v>
      </c>
      <c r="O408" s="4">
        <v>0.1</v>
      </c>
      <c r="P408" s="4">
        <v>0</v>
      </c>
      <c r="Q408" s="3" t="s">
        <v>26</v>
      </c>
      <c r="R408" s="3">
        <v>0</v>
      </c>
      <c r="S408" s="3" t="s">
        <v>243</v>
      </c>
      <c r="T408" s="3" t="s">
        <v>404</v>
      </c>
      <c r="U408" s="3">
        <v>0</v>
      </c>
      <c r="V408" s="3">
        <v>56</v>
      </c>
      <c r="W408" s="3">
        <v>21</v>
      </c>
    </row>
    <row r="409" spans="1:23" ht="11.25" customHeight="1" x14ac:dyDescent="0.25">
      <c r="A409" s="3" t="s">
        <v>21</v>
      </c>
      <c r="B409" s="3" t="s">
        <v>33</v>
      </c>
      <c r="C409" s="3" t="s">
        <v>41</v>
      </c>
      <c r="D409" s="3" t="s">
        <v>40</v>
      </c>
      <c r="E409" s="3" t="s">
        <v>25</v>
      </c>
      <c r="F409" s="3" t="s">
        <v>25</v>
      </c>
      <c r="G409" s="3" t="s">
        <v>25</v>
      </c>
      <c r="H409" s="3" t="s">
        <v>42</v>
      </c>
      <c r="I409" s="6">
        <v>44682</v>
      </c>
      <c r="J409" s="4">
        <v>0</v>
      </c>
      <c r="K409" s="4">
        <v>0</v>
      </c>
      <c r="L409" s="4">
        <v>0.104</v>
      </c>
      <c r="M409" s="4">
        <v>0.104</v>
      </c>
      <c r="N409" s="4">
        <v>0.104</v>
      </c>
      <c r="O409" s="4">
        <v>0.104</v>
      </c>
      <c r="P409" s="4">
        <v>0</v>
      </c>
      <c r="Q409" s="3" t="s">
        <v>26</v>
      </c>
      <c r="R409" s="3">
        <v>0</v>
      </c>
      <c r="S409" s="3" t="s">
        <v>244</v>
      </c>
      <c r="T409" s="3" t="s">
        <v>405</v>
      </c>
      <c r="U409" s="3">
        <v>0</v>
      </c>
      <c r="V409" s="3">
        <v>56</v>
      </c>
      <c r="W409" s="3">
        <v>21</v>
      </c>
    </row>
    <row r="410" spans="1:23" ht="11.25" customHeight="1" x14ac:dyDescent="0.25">
      <c r="A410" s="3" t="s">
        <v>21</v>
      </c>
      <c r="B410" s="3" t="s">
        <v>33</v>
      </c>
      <c r="C410" s="3" t="s">
        <v>41</v>
      </c>
      <c r="D410" s="3" t="s">
        <v>40</v>
      </c>
      <c r="E410" s="3" t="s">
        <v>25</v>
      </c>
      <c r="F410" s="3" t="s">
        <v>25</v>
      </c>
      <c r="G410" s="3" t="s">
        <v>25</v>
      </c>
      <c r="H410" s="3" t="s">
        <v>42</v>
      </c>
      <c r="I410" s="6">
        <v>44713</v>
      </c>
      <c r="J410" s="4">
        <v>0</v>
      </c>
      <c r="K410" s="4">
        <v>0</v>
      </c>
      <c r="L410" s="4">
        <v>0.11</v>
      </c>
      <c r="M410" s="4">
        <v>0.11</v>
      </c>
      <c r="N410" s="4">
        <v>0.11</v>
      </c>
      <c r="O410" s="4">
        <v>0.11</v>
      </c>
      <c r="P410" s="4">
        <v>0</v>
      </c>
      <c r="Q410" s="3" t="s">
        <v>26</v>
      </c>
      <c r="R410" s="3">
        <v>0</v>
      </c>
      <c r="S410" s="3" t="s">
        <v>245</v>
      </c>
      <c r="T410" s="3" t="s">
        <v>406</v>
      </c>
      <c r="U410" s="3">
        <v>0</v>
      </c>
      <c r="V410" s="3">
        <v>56</v>
      </c>
      <c r="W410" s="3">
        <v>21</v>
      </c>
    </row>
    <row r="411" spans="1:23" ht="11.25" customHeight="1" x14ac:dyDescent="0.25">
      <c r="A411" s="3" t="s">
        <v>21</v>
      </c>
      <c r="B411" s="3" t="s">
        <v>33</v>
      </c>
      <c r="C411" s="3" t="s">
        <v>41</v>
      </c>
      <c r="D411" s="3" t="s">
        <v>40</v>
      </c>
      <c r="E411" s="3" t="s">
        <v>25</v>
      </c>
      <c r="F411" s="3" t="s">
        <v>25</v>
      </c>
      <c r="G411" s="3" t="s">
        <v>25</v>
      </c>
      <c r="H411" s="3" t="s">
        <v>42</v>
      </c>
      <c r="I411" s="6">
        <v>44743</v>
      </c>
      <c r="J411" s="4">
        <v>0</v>
      </c>
      <c r="K411" s="4">
        <v>0</v>
      </c>
      <c r="L411" s="4">
        <v>8.7999999999999995E-2</v>
      </c>
      <c r="M411" s="4">
        <v>8.7999999999999995E-2</v>
      </c>
      <c r="N411" s="4">
        <v>8.7999999999999995E-2</v>
      </c>
      <c r="O411" s="4">
        <v>8.7999999999999995E-2</v>
      </c>
      <c r="P411" s="4">
        <v>0</v>
      </c>
      <c r="Q411" s="3" t="s">
        <v>26</v>
      </c>
      <c r="R411" s="3">
        <v>0</v>
      </c>
      <c r="S411" s="3" t="s">
        <v>246</v>
      </c>
      <c r="T411" s="3" t="s">
        <v>407</v>
      </c>
      <c r="U411" s="3">
        <v>0</v>
      </c>
      <c r="V411" s="3">
        <v>56</v>
      </c>
      <c r="W411" s="3">
        <v>21</v>
      </c>
    </row>
    <row r="412" spans="1:23" ht="11.25" customHeight="1" x14ac:dyDescent="0.25">
      <c r="A412" s="3" t="s">
        <v>55</v>
      </c>
      <c r="B412" s="3" t="s">
        <v>33</v>
      </c>
      <c r="C412" s="3" t="s">
        <v>41</v>
      </c>
      <c r="D412" s="3" t="s">
        <v>40</v>
      </c>
      <c r="E412" s="3" t="s">
        <v>25</v>
      </c>
      <c r="F412" s="3" t="s">
        <v>25</v>
      </c>
      <c r="G412" s="3" t="s">
        <v>25</v>
      </c>
      <c r="H412" s="3" t="s">
        <v>42</v>
      </c>
      <c r="I412" s="6">
        <v>44774</v>
      </c>
      <c r="J412" s="4">
        <v>0</v>
      </c>
      <c r="K412" s="4">
        <v>0</v>
      </c>
      <c r="L412" s="4">
        <v>8.7999999999999995E-2</v>
      </c>
      <c r="M412" s="4">
        <v>8.7999999999999995E-2</v>
      </c>
      <c r="N412" s="4">
        <v>8.7999999999999995E-2</v>
      </c>
      <c r="O412" s="4">
        <v>8.7999999999999995E-2</v>
      </c>
      <c r="P412" s="4">
        <v>0</v>
      </c>
      <c r="Q412" s="3" t="s">
        <v>26</v>
      </c>
      <c r="R412" s="3">
        <v>0</v>
      </c>
      <c r="S412" s="3" t="s">
        <v>247</v>
      </c>
      <c r="T412" s="3" t="s">
        <v>408</v>
      </c>
      <c r="U412" s="3">
        <v>0</v>
      </c>
      <c r="V412" s="3">
        <v>56</v>
      </c>
      <c r="W412" s="3">
        <v>21</v>
      </c>
    </row>
    <row r="413" spans="1:23" ht="11.25" customHeight="1" x14ac:dyDescent="0.25">
      <c r="A413" s="3" t="s">
        <v>21</v>
      </c>
      <c r="B413" s="3" t="s">
        <v>33</v>
      </c>
      <c r="C413" s="3" t="s">
        <v>41</v>
      </c>
      <c r="D413" s="3" t="s">
        <v>40</v>
      </c>
      <c r="E413" s="3" t="s">
        <v>25</v>
      </c>
      <c r="F413" s="3" t="s">
        <v>25</v>
      </c>
      <c r="G413" s="3" t="s">
        <v>25</v>
      </c>
      <c r="H413" s="3" t="s">
        <v>37</v>
      </c>
      <c r="I413" s="6">
        <v>44440</v>
      </c>
      <c r="J413" s="4">
        <v>0</v>
      </c>
      <c r="K413" s="4">
        <v>0</v>
      </c>
      <c r="L413" s="4">
        <v>7.2999999999999995E-2</v>
      </c>
      <c r="M413" s="4">
        <v>7.2999999999999995E-2</v>
      </c>
      <c r="N413" s="4">
        <v>7.2999999999999995E-2</v>
      </c>
      <c r="O413" s="4">
        <v>7.2999999999999995E-2</v>
      </c>
      <c r="P413" s="4">
        <v>0</v>
      </c>
      <c r="Q413" s="3" t="s">
        <v>26</v>
      </c>
      <c r="R413" s="3">
        <v>0</v>
      </c>
      <c r="S413" s="3" t="s">
        <v>248</v>
      </c>
      <c r="T413" s="3" t="s">
        <v>409</v>
      </c>
      <c r="U413" s="3">
        <v>0</v>
      </c>
      <c r="V413" s="3">
        <v>81</v>
      </c>
      <c r="W413" s="3">
        <v>25</v>
      </c>
    </row>
    <row r="414" spans="1:23" ht="11.25" customHeight="1" x14ac:dyDescent="0.25">
      <c r="A414" s="3" t="s">
        <v>21</v>
      </c>
      <c r="B414" s="3" t="s">
        <v>33</v>
      </c>
      <c r="C414" s="3" t="s">
        <v>41</v>
      </c>
      <c r="D414" s="3" t="s">
        <v>40</v>
      </c>
      <c r="E414" s="3" t="s">
        <v>25</v>
      </c>
      <c r="F414" s="3" t="s">
        <v>25</v>
      </c>
      <c r="G414" s="3" t="s">
        <v>25</v>
      </c>
      <c r="H414" s="3" t="s">
        <v>37</v>
      </c>
      <c r="I414" s="6">
        <v>44470</v>
      </c>
      <c r="J414" s="4">
        <v>0</v>
      </c>
      <c r="K414" s="4">
        <v>0</v>
      </c>
      <c r="L414" s="4">
        <v>0.114</v>
      </c>
      <c r="M414" s="4">
        <v>0.114</v>
      </c>
      <c r="N414" s="4">
        <v>0.114</v>
      </c>
      <c r="O414" s="4">
        <v>0.114</v>
      </c>
      <c r="P414" s="4">
        <v>0</v>
      </c>
      <c r="Q414" s="3" t="s">
        <v>26</v>
      </c>
      <c r="R414" s="3">
        <v>0</v>
      </c>
      <c r="S414" s="3" t="s">
        <v>249</v>
      </c>
      <c r="T414" s="3" t="s">
        <v>410</v>
      </c>
      <c r="U414" s="3">
        <v>0</v>
      </c>
      <c r="V414" s="3">
        <v>81</v>
      </c>
      <c r="W414" s="3">
        <v>25</v>
      </c>
    </row>
    <row r="415" spans="1:23" ht="11.25" customHeight="1" x14ac:dyDescent="0.25">
      <c r="A415" s="3" t="s">
        <v>21</v>
      </c>
      <c r="B415" s="3" t="s">
        <v>33</v>
      </c>
      <c r="C415" s="3" t="s">
        <v>41</v>
      </c>
      <c r="D415" s="3" t="s">
        <v>40</v>
      </c>
      <c r="E415" s="3" t="s">
        <v>25</v>
      </c>
      <c r="F415" s="3" t="s">
        <v>25</v>
      </c>
      <c r="G415" s="3" t="s">
        <v>25</v>
      </c>
      <c r="H415" s="3" t="s">
        <v>37</v>
      </c>
      <c r="I415" s="6">
        <v>44501</v>
      </c>
      <c r="J415" s="4">
        <v>0</v>
      </c>
      <c r="K415" s="4">
        <v>0</v>
      </c>
      <c r="L415" s="4">
        <v>7.3999999999999996E-2</v>
      </c>
      <c r="M415" s="4">
        <v>7.3999999999999996E-2</v>
      </c>
      <c r="N415" s="4">
        <v>7.3999999999999996E-2</v>
      </c>
      <c r="O415" s="4">
        <v>7.3999999999999996E-2</v>
      </c>
      <c r="P415" s="4">
        <v>0</v>
      </c>
      <c r="Q415" s="3" t="s">
        <v>26</v>
      </c>
      <c r="R415" s="3">
        <v>0</v>
      </c>
      <c r="S415" s="3" t="s">
        <v>250</v>
      </c>
      <c r="T415" s="3" t="s">
        <v>411</v>
      </c>
      <c r="U415" s="3">
        <v>0</v>
      </c>
      <c r="V415" s="3">
        <v>81</v>
      </c>
      <c r="W415" s="3">
        <v>25</v>
      </c>
    </row>
    <row r="416" spans="1:23" ht="11.25" customHeight="1" x14ac:dyDescent="0.25">
      <c r="A416" s="3" t="s">
        <v>21</v>
      </c>
      <c r="B416" s="3" t="s">
        <v>33</v>
      </c>
      <c r="C416" s="3" t="s">
        <v>41</v>
      </c>
      <c r="D416" s="3" t="s">
        <v>40</v>
      </c>
      <c r="E416" s="3" t="s">
        <v>25</v>
      </c>
      <c r="F416" s="3" t="s">
        <v>25</v>
      </c>
      <c r="G416" s="3" t="s">
        <v>25</v>
      </c>
      <c r="H416" s="3" t="s">
        <v>37</v>
      </c>
      <c r="I416" s="6">
        <v>44531</v>
      </c>
      <c r="J416" s="4">
        <v>0</v>
      </c>
      <c r="K416" s="4">
        <v>0</v>
      </c>
      <c r="L416" s="4">
        <v>0.108</v>
      </c>
      <c r="M416" s="4">
        <v>0.108</v>
      </c>
      <c r="N416" s="4">
        <v>0.108</v>
      </c>
      <c r="O416" s="4">
        <v>0.108</v>
      </c>
      <c r="P416" s="4">
        <v>0</v>
      </c>
      <c r="Q416" s="3" t="s">
        <v>26</v>
      </c>
      <c r="R416" s="3">
        <v>0</v>
      </c>
      <c r="S416" s="3" t="s">
        <v>251</v>
      </c>
      <c r="T416" s="3" t="s">
        <v>412</v>
      </c>
      <c r="U416" s="3">
        <v>0</v>
      </c>
      <c r="V416" s="3">
        <v>81</v>
      </c>
      <c r="W416" s="3">
        <v>25</v>
      </c>
    </row>
    <row r="417" spans="1:23" ht="11.25" customHeight="1" x14ac:dyDescent="0.25">
      <c r="A417" s="3" t="s">
        <v>21</v>
      </c>
      <c r="B417" s="3" t="s">
        <v>33</v>
      </c>
      <c r="C417" s="3" t="s">
        <v>41</v>
      </c>
      <c r="D417" s="3" t="s">
        <v>40</v>
      </c>
      <c r="E417" s="3" t="s">
        <v>25</v>
      </c>
      <c r="F417" s="3" t="s">
        <v>25</v>
      </c>
      <c r="G417" s="3" t="s">
        <v>25</v>
      </c>
      <c r="H417" s="3" t="s">
        <v>37</v>
      </c>
      <c r="I417" s="6">
        <v>44562</v>
      </c>
      <c r="J417" s="4">
        <v>0</v>
      </c>
      <c r="K417" s="4">
        <v>0</v>
      </c>
      <c r="L417" s="4">
        <v>0.126</v>
      </c>
      <c r="M417" s="4">
        <v>0.126</v>
      </c>
      <c r="N417" s="4">
        <v>0.126</v>
      </c>
      <c r="O417" s="4">
        <v>0.126</v>
      </c>
      <c r="P417" s="4">
        <v>0</v>
      </c>
      <c r="Q417" s="3" t="s">
        <v>26</v>
      </c>
      <c r="R417" s="3">
        <v>0</v>
      </c>
      <c r="S417" s="3" t="s">
        <v>252</v>
      </c>
      <c r="T417" s="3" t="s">
        <v>413</v>
      </c>
      <c r="U417" s="3">
        <v>0</v>
      </c>
      <c r="V417" s="3">
        <v>81</v>
      </c>
      <c r="W417" s="3">
        <v>25</v>
      </c>
    </row>
    <row r="418" spans="1:23" ht="11.25" customHeight="1" x14ac:dyDescent="0.25">
      <c r="A418" s="3" t="s">
        <v>21</v>
      </c>
      <c r="B418" s="3" t="s">
        <v>33</v>
      </c>
      <c r="C418" s="3" t="s">
        <v>41</v>
      </c>
      <c r="D418" s="3" t="s">
        <v>40</v>
      </c>
      <c r="E418" s="3" t="s">
        <v>25</v>
      </c>
      <c r="F418" s="3" t="s">
        <v>25</v>
      </c>
      <c r="G418" s="3" t="s">
        <v>25</v>
      </c>
      <c r="H418" s="3" t="s">
        <v>37</v>
      </c>
      <c r="I418" s="6">
        <v>44593</v>
      </c>
      <c r="J418" s="4">
        <v>0</v>
      </c>
      <c r="K418" s="4">
        <v>0</v>
      </c>
      <c r="L418" s="4">
        <v>8.6999999999999994E-2</v>
      </c>
      <c r="M418" s="4">
        <v>8.6999999999999994E-2</v>
      </c>
      <c r="N418" s="4">
        <v>8.6999999999999994E-2</v>
      </c>
      <c r="O418" s="4">
        <v>8.6999999999999994E-2</v>
      </c>
      <c r="P418" s="4">
        <v>0</v>
      </c>
      <c r="Q418" s="3" t="s">
        <v>26</v>
      </c>
      <c r="R418" s="3">
        <v>0</v>
      </c>
      <c r="S418" s="3" t="s">
        <v>253</v>
      </c>
      <c r="T418" s="3" t="s">
        <v>414</v>
      </c>
      <c r="U418" s="3">
        <v>0</v>
      </c>
      <c r="V418" s="3">
        <v>81</v>
      </c>
      <c r="W418" s="3">
        <v>25</v>
      </c>
    </row>
    <row r="419" spans="1:23" ht="11.25" customHeight="1" x14ac:dyDescent="0.25">
      <c r="A419" s="3" t="s">
        <v>21</v>
      </c>
      <c r="B419" s="3" t="s">
        <v>33</v>
      </c>
      <c r="C419" s="3" t="s">
        <v>41</v>
      </c>
      <c r="D419" s="3" t="s">
        <v>40</v>
      </c>
      <c r="E419" s="3" t="s">
        <v>25</v>
      </c>
      <c r="F419" s="3" t="s">
        <v>25</v>
      </c>
      <c r="G419" s="3" t="s">
        <v>25</v>
      </c>
      <c r="H419" s="3" t="s">
        <v>37</v>
      </c>
      <c r="I419" s="6">
        <v>44621</v>
      </c>
      <c r="J419" s="4">
        <v>0</v>
      </c>
      <c r="K419" s="4">
        <v>0</v>
      </c>
      <c r="L419" s="4">
        <v>8.2000000000000003E-2</v>
      </c>
      <c r="M419" s="4">
        <v>8.2000000000000003E-2</v>
      </c>
      <c r="N419" s="4">
        <v>8.2000000000000003E-2</v>
      </c>
      <c r="O419" s="4">
        <v>8.2000000000000003E-2</v>
      </c>
      <c r="P419" s="4">
        <v>0</v>
      </c>
      <c r="Q419" s="3" t="s">
        <v>26</v>
      </c>
      <c r="R419" s="3">
        <v>0</v>
      </c>
      <c r="S419" s="3" t="s">
        <v>254</v>
      </c>
      <c r="T419" s="3" t="s">
        <v>415</v>
      </c>
      <c r="U419" s="3">
        <v>0</v>
      </c>
      <c r="V419" s="3">
        <v>81</v>
      </c>
      <c r="W419" s="3">
        <v>25</v>
      </c>
    </row>
    <row r="420" spans="1:23" ht="11.25" customHeight="1" x14ac:dyDescent="0.25">
      <c r="A420" s="3" t="s">
        <v>21</v>
      </c>
      <c r="B420" s="3" t="s">
        <v>33</v>
      </c>
      <c r="C420" s="3" t="s">
        <v>41</v>
      </c>
      <c r="D420" s="3" t="s">
        <v>40</v>
      </c>
      <c r="E420" s="3" t="s">
        <v>25</v>
      </c>
      <c r="F420" s="3" t="s">
        <v>25</v>
      </c>
      <c r="G420" s="3" t="s">
        <v>25</v>
      </c>
      <c r="H420" s="3" t="s">
        <v>37</v>
      </c>
      <c r="I420" s="6">
        <v>44652</v>
      </c>
      <c r="J420" s="4">
        <v>0</v>
      </c>
      <c r="K420" s="4">
        <v>0</v>
      </c>
      <c r="L420" s="4">
        <v>6.6000000000000003E-2</v>
      </c>
      <c r="M420" s="4">
        <v>6.6000000000000003E-2</v>
      </c>
      <c r="N420" s="4">
        <v>6.6000000000000003E-2</v>
      </c>
      <c r="O420" s="4">
        <v>6.6000000000000003E-2</v>
      </c>
      <c r="P420" s="4">
        <v>0</v>
      </c>
      <c r="Q420" s="3" t="s">
        <v>26</v>
      </c>
      <c r="R420" s="3">
        <v>0</v>
      </c>
      <c r="S420" s="3" t="s">
        <v>255</v>
      </c>
      <c r="T420" s="3" t="s">
        <v>416</v>
      </c>
      <c r="U420" s="3">
        <v>0</v>
      </c>
      <c r="V420" s="3">
        <v>81</v>
      </c>
      <c r="W420" s="3">
        <v>25</v>
      </c>
    </row>
    <row r="421" spans="1:23" ht="11.25" customHeight="1" x14ac:dyDescent="0.25">
      <c r="A421" s="3" t="s">
        <v>21</v>
      </c>
      <c r="B421" s="3" t="s">
        <v>33</v>
      </c>
      <c r="C421" s="3" t="s">
        <v>41</v>
      </c>
      <c r="D421" s="3" t="s">
        <v>40</v>
      </c>
      <c r="E421" s="3" t="s">
        <v>25</v>
      </c>
      <c r="F421" s="3" t="s">
        <v>25</v>
      </c>
      <c r="G421" s="3" t="s">
        <v>25</v>
      </c>
      <c r="H421" s="3" t="s">
        <v>37</v>
      </c>
      <c r="I421" s="6">
        <v>44682</v>
      </c>
      <c r="J421" s="4">
        <v>0</v>
      </c>
      <c r="K421" s="4">
        <v>0</v>
      </c>
      <c r="L421" s="4">
        <v>8.5000000000000006E-2</v>
      </c>
      <c r="M421" s="4">
        <v>8.5000000000000006E-2</v>
      </c>
      <c r="N421" s="4">
        <v>8.5000000000000006E-2</v>
      </c>
      <c r="O421" s="4">
        <v>8.5000000000000006E-2</v>
      </c>
      <c r="P421" s="4">
        <v>0</v>
      </c>
      <c r="Q421" s="3" t="s">
        <v>26</v>
      </c>
      <c r="R421" s="3">
        <v>0</v>
      </c>
      <c r="S421" s="3" t="s">
        <v>256</v>
      </c>
      <c r="T421" s="3" t="s">
        <v>417</v>
      </c>
      <c r="U421" s="3">
        <v>0</v>
      </c>
      <c r="V421" s="3">
        <v>81</v>
      </c>
      <c r="W421" s="3">
        <v>25</v>
      </c>
    </row>
    <row r="422" spans="1:23" ht="11.25" customHeight="1" x14ac:dyDescent="0.25">
      <c r="A422" s="3" t="s">
        <v>21</v>
      </c>
      <c r="B422" s="3" t="s">
        <v>33</v>
      </c>
      <c r="C422" s="3" t="s">
        <v>41</v>
      </c>
      <c r="D422" s="3" t="s">
        <v>40</v>
      </c>
      <c r="E422" s="3" t="s">
        <v>25</v>
      </c>
      <c r="F422" s="3" t="s">
        <v>25</v>
      </c>
      <c r="G422" s="3" t="s">
        <v>25</v>
      </c>
      <c r="H422" s="3" t="s">
        <v>37</v>
      </c>
      <c r="I422" s="6">
        <v>44713</v>
      </c>
      <c r="J422" s="4">
        <v>0</v>
      </c>
      <c r="K422" s="4">
        <v>0</v>
      </c>
      <c r="L422" s="4">
        <v>9.5000000000000001E-2</v>
      </c>
      <c r="M422" s="4">
        <v>9.5000000000000001E-2</v>
      </c>
      <c r="N422" s="4">
        <v>9.5000000000000001E-2</v>
      </c>
      <c r="O422" s="4">
        <v>9.5000000000000001E-2</v>
      </c>
      <c r="P422" s="4">
        <v>0</v>
      </c>
      <c r="Q422" s="3" t="s">
        <v>26</v>
      </c>
      <c r="R422" s="3">
        <v>0</v>
      </c>
      <c r="S422" s="3" t="s">
        <v>257</v>
      </c>
      <c r="T422" s="3" t="s">
        <v>418</v>
      </c>
      <c r="U422" s="3">
        <v>0</v>
      </c>
      <c r="V422" s="3">
        <v>81</v>
      </c>
      <c r="W422" s="3">
        <v>25</v>
      </c>
    </row>
    <row r="423" spans="1:23" ht="11.25" customHeight="1" x14ac:dyDescent="0.25">
      <c r="A423" s="3" t="s">
        <v>21</v>
      </c>
      <c r="B423" s="3" t="s">
        <v>33</v>
      </c>
      <c r="C423" s="3" t="s">
        <v>41</v>
      </c>
      <c r="D423" s="3" t="s">
        <v>40</v>
      </c>
      <c r="E423" s="3" t="s">
        <v>25</v>
      </c>
      <c r="F423" s="3" t="s">
        <v>25</v>
      </c>
      <c r="G423" s="3" t="s">
        <v>25</v>
      </c>
      <c r="H423" s="3" t="s">
        <v>37</v>
      </c>
      <c r="I423" s="6">
        <v>44743</v>
      </c>
      <c r="J423" s="4">
        <v>0</v>
      </c>
      <c r="K423" s="4">
        <v>0</v>
      </c>
      <c r="L423" s="4">
        <v>7.6999999999999999E-2</v>
      </c>
      <c r="M423" s="4">
        <v>7.6999999999999999E-2</v>
      </c>
      <c r="N423" s="4">
        <v>7.6999999999999999E-2</v>
      </c>
      <c r="O423" s="4">
        <v>7.6999999999999999E-2</v>
      </c>
      <c r="P423" s="4">
        <v>0</v>
      </c>
      <c r="Q423" s="3" t="s">
        <v>26</v>
      </c>
      <c r="R423" s="3">
        <v>0</v>
      </c>
      <c r="S423" s="3" t="s">
        <v>258</v>
      </c>
      <c r="T423" s="3" t="s">
        <v>419</v>
      </c>
      <c r="U423" s="3">
        <v>0</v>
      </c>
      <c r="V423" s="3">
        <v>81</v>
      </c>
      <c r="W423" s="3">
        <v>25</v>
      </c>
    </row>
    <row r="424" spans="1:23" ht="11.25" customHeight="1" x14ac:dyDescent="0.25">
      <c r="A424" s="3" t="s">
        <v>55</v>
      </c>
      <c r="B424" s="3" t="s">
        <v>33</v>
      </c>
      <c r="C424" s="3" t="s">
        <v>41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37</v>
      </c>
      <c r="I424" s="6">
        <v>44774</v>
      </c>
      <c r="J424" s="4">
        <v>0</v>
      </c>
      <c r="K424" s="4">
        <v>0</v>
      </c>
      <c r="L424" s="4">
        <v>7.6999999999999999E-2</v>
      </c>
      <c r="M424" s="4">
        <v>7.6999999999999999E-2</v>
      </c>
      <c r="N424" s="4">
        <v>7.6999999999999999E-2</v>
      </c>
      <c r="O424" s="4">
        <v>7.6999999999999999E-2</v>
      </c>
      <c r="P424" s="4">
        <v>0</v>
      </c>
      <c r="Q424" s="3" t="s">
        <v>26</v>
      </c>
      <c r="R424" s="3">
        <v>0</v>
      </c>
      <c r="S424" s="3" t="s">
        <v>259</v>
      </c>
      <c r="T424" s="3" t="s">
        <v>420</v>
      </c>
      <c r="U424" s="3">
        <v>0</v>
      </c>
      <c r="V424" s="3">
        <v>81</v>
      </c>
      <c r="W424" s="3">
        <v>25</v>
      </c>
    </row>
    <row r="425" spans="1:23" ht="11.25" customHeight="1" x14ac:dyDescent="0.25">
      <c r="A425" s="3" t="s">
        <v>21</v>
      </c>
      <c r="B425" s="3" t="s">
        <v>33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660.53899999999999</v>
      </c>
      <c r="M425" s="4">
        <v>660.53899999999999</v>
      </c>
      <c r="N425" s="4">
        <v>660.53899999999999</v>
      </c>
      <c r="O425" s="4">
        <v>660.53899999999999</v>
      </c>
      <c r="P425" s="4">
        <v>1195</v>
      </c>
      <c r="Q425" s="3" t="s">
        <v>26</v>
      </c>
      <c r="R425" s="3">
        <v>0</v>
      </c>
      <c r="S425" s="3" t="s">
        <v>260</v>
      </c>
      <c r="T425" s="3" t="s">
        <v>421</v>
      </c>
      <c r="U425" s="3">
        <v>0</v>
      </c>
      <c r="V425" s="3">
        <v>66</v>
      </c>
      <c r="W425" s="3">
        <v>10</v>
      </c>
    </row>
    <row r="426" spans="1:23" ht="11.25" customHeight="1" x14ac:dyDescent="0.25">
      <c r="A426" s="3" t="s">
        <v>27</v>
      </c>
      <c r="B426" s="3" t="s">
        <v>33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44440</v>
      </c>
      <c r="J426" s="4">
        <v>0</v>
      </c>
      <c r="K426" s="4">
        <v>0</v>
      </c>
      <c r="L426" s="4">
        <v>-0.156</v>
      </c>
      <c r="M426" s="4">
        <v>-0.156</v>
      </c>
      <c r="N426" s="4">
        <v>-0.156</v>
      </c>
      <c r="O426" s="4">
        <v>-0.156</v>
      </c>
      <c r="P426" s="4">
        <v>0</v>
      </c>
      <c r="Q426" s="3" t="s">
        <v>26</v>
      </c>
      <c r="R426" s="3">
        <v>0</v>
      </c>
      <c r="S426" s="3" t="s">
        <v>260</v>
      </c>
      <c r="T426" s="3" t="s">
        <v>421</v>
      </c>
      <c r="U426" s="3">
        <v>0</v>
      </c>
      <c r="V426" s="3">
        <v>66</v>
      </c>
      <c r="W426" s="3">
        <v>10</v>
      </c>
    </row>
    <row r="427" spans="1:23" ht="11.25" customHeight="1" x14ac:dyDescent="0.25">
      <c r="A427" s="3" t="s">
        <v>28</v>
      </c>
      <c r="B427" s="3" t="s">
        <v>33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44440</v>
      </c>
      <c r="J427" s="4">
        <v>0</v>
      </c>
      <c r="K427" s="4">
        <v>0</v>
      </c>
      <c r="L427" s="4">
        <v>25.408000000000001</v>
      </c>
      <c r="M427" s="4">
        <v>25.408000000000001</v>
      </c>
      <c r="N427" s="4">
        <v>25.408000000000001</v>
      </c>
      <c r="O427" s="4">
        <v>25.408000000000001</v>
      </c>
      <c r="P427" s="4">
        <v>30</v>
      </c>
      <c r="Q427" s="3" t="s">
        <v>26</v>
      </c>
      <c r="R427" s="3">
        <v>0</v>
      </c>
      <c r="S427" s="3" t="s">
        <v>260</v>
      </c>
      <c r="T427" s="3" t="s">
        <v>421</v>
      </c>
      <c r="U427" s="3">
        <v>0</v>
      </c>
      <c r="V427" s="3">
        <v>66</v>
      </c>
      <c r="W427" s="3">
        <v>10</v>
      </c>
    </row>
    <row r="428" spans="1:23" ht="11.25" customHeight="1" x14ac:dyDescent="0.25">
      <c r="A428" s="3" t="s">
        <v>21</v>
      </c>
      <c r="B428" s="3" t="s">
        <v>33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44470</v>
      </c>
      <c r="J428" s="4">
        <v>0</v>
      </c>
      <c r="K428" s="4">
        <v>0</v>
      </c>
      <c r="L428" s="4">
        <v>662.68</v>
      </c>
      <c r="M428" s="4">
        <v>662.68</v>
      </c>
      <c r="N428" s="4">
        <v>662.68</v>
      </c>
      <c r="O428" s="4">
        <v>662.68</v>
      </c>
      <c r="P428" s="4">
        <v>1194</v>
      </c>
      <c r="Q428" s="3" t="s">
        <v>26</v>
      </c>
      <c r="R428" s="3">
        <v>0</v>
      </c>
      <c r="S428" s="3" t="s">
        <v>261</v>
      </c>
      <c r="T428" s="3" t="s">
        <v>422</v>
      </c>
      <c r="U428" s="3">
        <v>0</v>
      </c>
      <c r="V428" s="3">
        <v>66</v>
      </c>
      <c r="W428" s="3">
        <v>10</v>
      </c>
    </row>
    <row r="429" spans="1:23" ht="11.25" customHeight="1" x14ac:dyDescent="0.25">
      <c r="A429" s="3" t="s">
        <v>27</v>
      </c>
      <c r="B429" s="3" t="s">
        <v>33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44470</v>
      </c>
      <c r="J429" s="4">
        <v>0</v>
      </c>
      <c r="K429" s="4">
        <v>0</v>
      </c>
      <c r="L429" s="4">
        <v>-6.8659999999999997</v>
      </c>
      <c r="M429" s="4">
        <v>-6.8659999999999997</v>
      </c>
      <c r="N429" s="4">
        <v>-6.8659999999999997</v>
      </c>
      <c r="O429" s="4">
        <v>-6.8659999999999997</v>
      </c>
      <c r="P429" s="4">
        <v>0</v>
      </c>
      <c r="Q429" s="3" t="s">
        <v>26</v>
      </c>
      <c r="R429" s="3">
        <v>0</v>
      </c>
      <c r="S429" s="3" t="s">
        <v>261</v>
      </c>
      <c r="T429" s="3" t="s">
        <v>422</v>
      </c>
      <c r="U429" s="3">
        <v>0</v>
      </c>
      <c r="V429" s="3">
        <v>66</v>
      </c>
      <c r="W429" s="3">
        <v>10</v>
      </c>
    </row>
    <row r="430" spans="1:23" ht="11.25" customHeight="1" x14ac:dyDescent="0.25">
      <c r="A430" s="3" t="s">
        <v>28</v>
      </c>
      <c r="B430" s="3" t="s">
        <v>33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44470</v>
      </c>
      <c r="J430" s="4">
        <v>0</v>
      </c>
      <c r="K430" s="4">
        <v>0</v>
      </c>
      <c r="L430" s="4">
        <v>21.484000000000002</v>
      </c>
      <c r="M430" s="4">
        <v>21.484000000000002</v>
      </c>
      <c r="N430" s="4">
        <v>21.484000000000002</v>
      </c>
      <c r="O430" s="4">
        <v>21.484000000000002</v>
      </c>
      <c r="P430" s="4">
        <v>31</v>
      </c>
      <c r="Q430" s="3" t="s">
        <v>26</v>
      </c>
      <c r="R430" s="3">
        <v>0</v>
      </c>
      <c r="S430" s="3" t="s">
        <v>261</v>
      </c>
      <c r="T430" s="3" t="s">
        <v>422</v>
      </c>
      <c r="U430" s="3">
        <v>0</v>
      </c>
      <c r="V430" s="3">
        <v>66</v>
      </c>
      <c r="W430" s="3">
        <v>10</v>
      </c>
    </row>
    <row r="431" spans="1:23" ht="11.25" customHeight="1" x14ac:dyDescent="0.25">
      <c r="A431" s="3" t="s">
        <v>21</v>
      </c>
      <c r="B431" s="3" t="s">
        <v>33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706.12400000000002</v>
      </c>
      <c r="M431" s="4">
        <v>706.12400000000002</v>
      </c>
      <c r="N431" s="4">
        <v>706.12400000000002</v>
      </c>
      <c r="O431" s="4">
        <v>706.12400000000002</v>
      </c>
      <c r="P431" s="4">
        <v>1190</v>
      </c>
      <c r="Q431" s="3" t="s">
        <v>26</v>
      </c>
      <c r="R431" s="3">
        <v>0</v>
      </c>
      <c r="S431" s="3" t="s">
        <v>262</v>
      </c>
      <c r="T431" s="3" t="s">
        <v>423</v>
      </c>
      <c r="U431" s="3">
        <v>0</v>
      </c>
      <c r="V431" s="3">
        <v>66</v>
      </c>
      <c r="W431" s="3">
        <v>10</v>
      </c>
    </row>
    <row r="432" spans="1:23" ht="11.25" customHeight="1" x14ac:dyDescent="0.25">
      <c r="A432" s="3" t="s">
        <v>27</v>
      </c>
      <c r="B432" s="3" t="s">
        <v>33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44501</v>
      </c>
      <c r="J432" s="4">
        <v>0</v>
      </c>
      <c r="K432" s="4">
        <v>0</v>
      </c>
      <c r="L432" s="4">
        <v>-9.33</v>
      </c>
      <c r="M432" s="4">
        <v>-9.33</v>
      </c>
      <c r="N432" s="4">
        <v>-9.33</v>
      </c>
      <c r="O432" s="4">
        <v>-9.33</v>
      </c>
      <c r="P432" s="4">
        <v>0</v>
      </c>
      <c r="Q432" s="3" t="s">
        <v>26</v>
      </c>
      <c r="R432" s="3">
        <v>0</v>
      </c>
      <c r="S432" s="3" t="s">
        <v>262</v>
      </c>
      <c r="T432" s="3" t="s">
        <v>423</v>
      </c>
      <c r="U432" s="3">
        <v>0</v>
      </c>
      <c r="V432" s="3">
        <v>66</v>
      </c>
      <c r="W432" s="3">
        <v>10</v>
      </c>
    </row>
    <row r="433" spans="1:23" ht="11.25" customHeight="1" x14ac:dyDescent="0.25">
      <c r="A433" s="3" t="s">
        <v>28</v>
      </c>
      <c r="B433" s="3" t="s">
        <v>33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44501</v>
      </c>
      <c r="J433" s="4">
        <v>0</v>
      </c>
      <c r="K433" s="4">
        <v>0</v>
      </c>
      <c r="L433" s="4">
        <v>20.423999999999999</v>
      </c>
      <c r="M433" s="4">
        <v>20.423999999999999</v>
      </c>
      <c r="N433" s="4">
        <v>20.423999999999999</v>
      </c>
      <c r="O433" s="4">
        <v>20.423999999999999</v>
      </c>
      <c r="P433" s="4">
        <v>36</v>
      </c>
      <c r="Q433" s="3" t="s">
        <v>26</v>
      </c>
      <c r="R433" s="3">
        <v>0</v>
      </c>
      <c r="S433" s="3" t="s">
        <v>262</v>
      </c>
      <c r="T433" s="3" t="s">
        <v>423</v>
      </c>
      <c r="U433" s="3">
        <v>0</v>
      </c>
      <c r="V433" s="3">
        <v>66</v>
      </c>
      <c r="W433" s="3">
        <v>10</v>
      </c>
    </row>
    <row r="434" spans="1:23" ht="11.25" customHeight="1" x14ac:dyDescent="0.25">
      <c r="A434" s="3" t="s">
        <v>21</v>
      </c>
      <c r="B434" s="3" t="s">
        <v>33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44531</v>
      </c>
      <c r="J434" s="4">
        <v>0</v>
      </c>
      <c r="K434" s="4">
        <v>0</v>
      </c>
      <c r="L434" s="4">
        <v>792.92499999999995</v>
      </c>
      <c r="M434" s="4">
        <v>792.92499999999995</v>
      </c>
      <c r="N434" s="4">
        <v>792.92499999999995</v>
      </c>
      <c r="O434" s="4">
        <v>792.92499999999995</v>
      </c>
      <c r="P434" s="4">
        <v>1198</v>
      </c>
      <c r="Q434" s="3" t="s">
        <v>26</v>
      </c>
      <c r="R434" s="3">
        <v>0</v>
      </c>
      <c r="S434" s="3" t="s">
        <v>263</v>
      </c>
      <c r="T434" s="3" t="s">
        <v>424</v>
      </c>
      <c r="U434" s="3">
        <v>0</v>
      </c>
      <c r="V434" s="3">
        <v>66</v>
      </c>
      <c r="W434" s="3">
        <v>10</v>
      </c>
    </row>
    <row r="435" spans="1:23" ht="11.25" customHeight="1" x14ac:dyDescent="0.25">
      <c r="A435" s="3" t="s">
        <v>27</v>
      </c>
      <c r="B435" s="3" t="s">
        <v>33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44531</v>
      </c>
      <c r="J435" s="4">
        <v>0</v>
      </c>
      <c r="K435" s="4">
        <v>0</v>
      </c>
      <c r="L435" s="4">
        <v>-10.298</v>
      </c>
      <c r="M435" s="4">
        <v>-10.298</v>
      </c>
      <c r="N435" s="4">
        <v>-10.298</v>
      </c>
      <c r="O435" s="4">
        <v>-10.298</v>
      </c>
      <c r="P435" s="4">
        <v>0</v>
      </c>
      <c r="Q435" s="3" t="s">
        <v>26</v>
      </c>
      <c r="R435" s="3">
        <v>0</v>
      </c>
      <c r="S435" s="3" t="s">
        <v>263</v>
      </c>
      <c r="T435" s="3" t="s">
        <v>424</v>
      </c>
      <c r="U435" s="3">
        <v>0</v>
      </c>
      <c r="V435" s="3">
        <v>66</v>
      </c>
      <c r="W435" s="3">
        <v>10</v>
      </c>
    </row>
    <row r="436" spans="1:23" ht="11.25" customHeight="1" x14ac:dyDescent="0.25">
      <c r="A436" s="3" t="s">
        <v>28</v>
      </c>
      <c r="B436" s="3" t="s">
        <v>33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44531</v>
      </c>
      <c r="J436" s="4">
        <v>0</v>
      </c>
      <c r="K436" s="4">
        <v>0</v>
      </c>
      <c r="L436" s="4">
        <v>25.643999999999998</v>
      </c>
      <c r="M436" s="4">
        <v>25.643999999999998</v>
      </c>
      <c r="N436" s="4">
        <v>25.643999999999998</v>
      </c>
      <c r="O436" s="4">
        <v>25.643999999999998</v>
      </c>
      <c r="P436" s="4">
        <v>38</v>
      </c>
      <c r="Q436" s="3" t="s">
        <v>26</v>
      </c>
      <c r="R436" s="3">
        <v>0</v>
      </c>
      <c r="S436" s="3" t="s">
        <v>263</v>
      </c>
      <c r="T436" s="3" t="s">
        <v>424</v>
      </c>
      <c r="U436" s="3">
        <v>0</v>
      </c>
      <c r="V436" s="3">
        <v>66</v>
      </c>
      <c r="W436" s="3">
        <v>10</v>
      </c>
    </row>
    <row r="437" spans="1:23" ht="11.25" customHeight="1" x14ac:dyDescent="0.25">
      <c r="A437" s="3" t="s">
        <v>21</v>
      </c>
      <c r="B437" s="3" t="s">
        <v>33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44562</v>
      </c>
      <c r="J437" s="4">
        <v>0</v>
      </c>
      <c r="K437" s="4">
        <v>0</v>
      </c>
      <c r="L437" s="4">
        <v>847.41600000000005</v>
      </c>
      <c r="M437" s="4">
        <v>847.41600000000005</v>
      </c>
      <c r="N437" s="4">
        <v>847.41600000000005</v>
      </c>
      <c r="O437" s="4">
        <v>847.41600000000005</v>
      </c>
      <c r="P437" s="4">
        <v>1215</v>
      </c>
      <c r="Q437" s="3" t="s">
        <v>26</v>
      </c>
      <c r="R437" s="3">
        <v>0</v>
      </c>
      <c r="S437" s="3" t="s">
        <v>264</v>
      </c>
      <c r="T437" s="3" t="s">
        <v>425</v>
      </c>
      <c r="U437" s="3">
        <v>0</v>
      </c>
      <c r="V437" s="3">
        <v>66</v>
      </c>
      <c r="W437" s="3">
        <v>10</v>
      </c>
    </row>
    <row r="438" spans="1:23" ht="11.25" customHeight="1" x14ac:dyDescent="0.25">
      <c r="A438" s="3" t="s">
        <v>27</v>
      </c>
      <c r="B438" s="3" t="s">
        <v>33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44562</v>
      </c>
      <c r="J438" s="4">
        <v>0</v>
      </c>
      <c r="K438" s="4">
        <v>0</v>
      </c>
      <c r="L438" s="4">
        <v>-0.60499999999999998</v>
      </c>
      <c r="M438" s="4">
        <v>-0.60499999999999998</v>
      </c>
      <c r="N438" s="4">
        <v>-0.60499999999999998</v>
      </c>
      <c r="O438" s="4">
        <v>-0.60499999999999998</v>
      </c>
      <c r="P438" s="4">
        <v>0</v>
      </c>
      <c r="Q438" s="3" t="s">
        <v>26</v>
      </c>
      <c r="R438" s="3">
        <v>0</v>
      </c>
      <c r="S438" s="3" t="s">
        <v>264</v>
      </c>
      <c r="T438" s="3" t="s">
        <v>425</v>
      </c>
      <c r="U438" s="3">
        <v>0</v>
      </c>
      <c r="V438" s="3">
        <v>66</v>
      </c>
      <c r="W438" s="3">
        <v>10</v>
      </c>
    </row>
    <row r="439" spans="1:23" ht="11.25" customHeight="1" x14ac:dyDescent="0.25">
      <c r="A439" s="3" t="s">
        <v>28</v>
      </c>
      <c r="B439" s="3" t="s">
        <v>33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44562</v>
      </c>
      <c r="J439" s="4">
        <v>0</v>
      </c>
      <c r="K439" s="4">
        <v>0</v>
      </c>
      <c r="L439" s="4">
        <v>24.210999999999999</v>
      </c>
      <c r="M439" s="4">
        <v>24.210999999999999</v>
      </c>
      <c r="N439" s="4">
        <v>24.210999999999999</v>
      </c>
      <c r="O439" s="4">
        <v>24.210999999999999</v>
      </c>
      <c r="P439" s="4">
        <v>41</v>
      </c>
      <c r="Q439" s="3" t="s">
        <v>26</v>
      </c>
      <c r="R439" s="3">
        <v>0</v>
      </c>
      <c r="S439" s="3" t="s">
        <v>264</v>
      </c>
      <c r="T439" s="3" t="s">
        <v>425</v>
      </c>
      <c r="U439" s="3">
        <v>0</v>
      </c>
      <c r="V439" s="3">
        <v>66</v>
      </c>
      <c r="W439" s="3">
        <v>10</v>
      </c>
    </row>
    <row r="440" spans="1:23" ht="11.25" customHeight="1" x14ac:dyDescent="0.25">
      <c r="A440" s="3" t="s">
        <v>21</v>
      </c>
      <c r="B440" s="3" t="s">
        <v>33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44593</v>
      </c>
      <c r="J440" s="4">
        <v>0</v>
      </c>
      <c r="K440" s="4">
        <v>0</v>
      </c>
      <c r="L440" s="4">
        <v>885.84</v>
      </c>
      <c r="M440" s="4">
        <v>885.84</v>
      </c>
      <c r="N440" s="4">
        <v>885.84</v>
      </c>
      <c r="O440" s="4">
        <v>885.84</v>
      </c>
      <c r="P440" s="4">
        <v>1213</v>
      </c>
      <c r="Q440" s="3" t="s">
        <v>26</v>
      </c>
      <c r="R440" s="3">
        <v>0</v>
      </c>
      <c r="S440" s="3" t="s">
        <v>265</v>
      </c>
      <c r="T440" s="3" t="s">
        <v>426</v>
      </c>
      <c r="U440" s="3">
        <v>0</v>
      </c>
      <c r="V440" s="3">
        <v>66</v>
      </c>
      <c r="W440" s="3">
        <v>10</v>
      </c>
    </row>
    <row r="441" spans="1:23" ht="11.25" customHeight="1" x14ac:dyDescent="0.25">
      <c r="A441" s="3" t="s">
        <v>27</v>
      </c>
      <c r="B441" s="3" t="s">
        <v>33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44593</v>
      </c>
      <c r="J441" s="4">
        <v>0</v>
      </c>
      <c r="K441" s="4">
        <v>0</v>
      </c>
      <c r="L441" s="4">
        <v>-1.004</v>
      </c>
      <c r="M441" s="4">
        <v>-1.004</v>
      </c>
      <c r="N441" s="4">
        <v>-1.004</v>
      </c>
      <c r="O441" s="4">
        <v>-1.004</v>
      </c>
      <c r="P441" s="4">
        <v>0</v>
      </c>
      <c r="Q441" s="3" t="s">
        <v>26</v>
      </c>
      <c r="R441" s="3">
        <v>0</v>
      </c>
      <c r="S441" s="3" t="s">
        <v>265</v>
      </c>
      <c r="T441" s="3" t="s">
        <v>426</v>
      </c>
      <c r="U441" s="3">
        <v>0</v>
      </c>
      <c r="V441" s="3">
        <v>66</v>
      </c>
      <c r="W441" s="3">
        <v>10</v>
      </c>
    </row>
    <row r="442" spans="1:23" ht="11.25" customHeight="1" x14ac:dyDescent="0.25">
      <c r="A442" s="3" t="s">
        <v>28</v>
      </c>
      <c r="B442" s="3" t="s">
        <v>33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44593</v>
      </c>
      <c r="J442" s="4">
        <v>0</v>
      </c>
      <c r="K442" s="4">
        <v>0</v>
      </c>
      <c r="L442" s="4">
        <v>30.131</v>
      </c>
      <c r="M442" s="4">
        <v>30.131</v>
      </c>
      <c r="N442" s="4">
        <v>30.131</v>
      </c>
      <c r="O442" s="4">
        <v>30.131</v>
      </c>
      <c r="P442" s="4">
        <v>46</v>
      </c>
      <c r="Q442" s="3" t="s">
        <v>26</v>
      </c>
      <c r="R442" s="3">
        <v>0</v>
      </c>
      <c r="S442" s="3" t="s">
        <v>265</v>
      </c>
      <c r="T442" s="3" t="s">
        <v>426</v>
      </c>
      <c r="U442" s="3">
        <v>0</v>
      </c>
      <c r="V442" s="3">
        <v>66</v>
      </c>
      <c r="W442" s="3">
        <v>10</v>
      </c>
    </row>
    <row r="443" spans="1:23" ht="11.25" customHeight="1" x14ac:dyDescent="0.25">
      <c r="A443" s="3" t="s">
        <v>21</v>
      </c>
      <c r="B443" s="3" t="s">
        <v>33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44621</v>
      </c>
      <c r="J443" s="4">
        <v>0</v>
      </c>
      <c r="K443" s="4">
        <v>0</v>
      </c>
      <c r="L443" s="4">
        <v>798.06200000000001</v>
      </c>
      <c r="M443" s="4">
        <v>798.06200000000001</v>
      </c>
      <c r="N443" s="4">
        <v>798.06200000000001</v>
      </c>
      <c r="O443" s="4">
        <v>798.06200000000001</v>
      </c>
      <c r="P443" s="4">
        <v>1213</v>
      </c>
      <c r="Q443" s="3" t="s">
        <v>26</v>
      </c>
      <c r="R443" s="3">
        <v>0</v>
      </c>
      <c r="S443" s="3" t="s">
        <v>266</v>
      </c>
      <c r="T443" s="3" t="s">
        <v>427</v>
      </c>
      <c r="U443" s="3">
        <v>0</v>
      </c>
      <c r="V443" s="3">
        <v>66</v>
      </c>
      <c r="W443" s="3">
        <v>10</v>
      </c>
    </row>
    <row r="444" spans="1:23" ht="11.25" customHeight="1" x14ac:dyDescent="0.25">
      <c r="A444" s="3" t="s">
        <v>27</v>
      </c>
      <c r="B444" s="3" t="s">
        <v>33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44621</v>
      </c>
      <c r="J444" s="4">
        <v>0</v>
      </c>
      <c r="K444" s="4">
        <v>0</v>
      </c>
      <c r="L444" s="4">
        <v>-7.681</v>
      </c>
      <c r="M444" s="4">
        <v>-7.681</v>
      </c>
      <c r="N444" s="4">
        <v>-7.681</v>
      </c>
      <c r="O444" s="4">
        <v>-7.681</v>
      </c>
      <c r="P444" s="4">
        <v>0</v>
      </c>
      <c r="Q444" s="3" t="s">
        <v>26</v>
      </c>
      <c r="R444" s="3">
        <v>0</v>
      </c>
      <c r="S444" s="3" t="s">
        <v>266</v>
      </c>
      <c r="T444" s="3" t="s">
        <v>427</v>
      </c>
      <c r="U444" s="3">
        <v>0</v>
      </c>
      <c r="V444" s="3">
        <v>66</v>
      </c>
      <c r="W444" s="3">
        <v>10</v>
      </c>
    </row>
    <row r="445" spans="1:23" ht="11.25" customHeight="1" x14ac:dyDescent="0.25">
      <c r="A445" s="3" t="s">
        <v>28</v>
      </c>
      <c r="B445" s="3" t="s">
        <v>33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44621</v>
      </c>
      <c r="J445" s="4">
        <v>0</v>
      </c>
      <c r="K445" s="4">
        <v>0</v>
      </c>
      <c r="L445" s="4">
        <v>46.667000000000002</v>
      </c>
      <c r="M445" s="4">
        <v>46.667000000000002</v>
      </c>
      <c r="N445" s="4">
        <v>46.667000000000002</v>
      </c>
      <c r="O445" s="4">
        <v>46.667000000000002</v>
      </c>
      <c r="P445" s="4">
        <v>48</v>
      </c>
      <c r="Q445" s="3" t="s">
        <v>26</v>
      </c>
      <c r="R445" s="3">
        <v>0</v>
      </c>
      <c r="S445" s="3" t="s">
        <v>266</v>
      </c>
      <c r="T445" s="3" t="s">
        <v>427</v>
      </c>
      <c r="U445" s="3">
        <v>0</v>
      </c>
      <c r="V445" s="3">
        <v>66</v>
      </c>
      <c r="W445" s="3">
        <v>10</v>
      </c>
    </row>
    <row r="446" spans="1:23" ht="11.25" customHeight="1" x14ac:dyDescent="0.25">
      <c r="A446" s="3" t="s">
        <v>28</v>
      </c>
      <c r="B446" s="3" t="s">
        <v>33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44621</v>
      </c>
      <c r="J446" s="4">
        <v>0</v>
      </c>
      <c r="K446" s="4">
        <v>0</v>
      </c>
      <c r="L446" s="4">
        <v>-0.71399999999999997</v>
      </c>
      <c r="M446" s="4">
        <v>-0.71399999999999997</v>
      </c>
      <c r="N446" s="4">
        <v>-0.71399999999999997</v>
      </c>
      <c r="O446" s="4">
        <v>-0.71399999999999997</v>
      </c>
      <c r="P446" s="4">
        <v>2</v>
      </c>
      <c r="Q446" s="3" t="s">
        <v>26</v>
      </c>
      <c r="R446" s="3">
        <v>0</v>
      </c>
      <c r="S446" s="3" t="s">
        <v>266</v>
      </c>
      <c r="T446" s="3" t="s">
        <v>427</v>
      </c>
      <c r="U446" s="3">
        <v>0</v>
      </c>
      <c r="V446" s="3">
        <v>66</v>
      </c>
      <c r="W446" s="3">
        <v>10</v>
      </c>
    </row>
    <row r="447" spans="1:23" ht="11.25" customHeight="1" x14ac:dyDescent="0.25">
      <c r="A447" s="3" t="s">
        <v>21</v>
      </c>
      <c r="B447" s="3" t="s">
        <v>33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44652</v>
      </c>
      <c r="J447" s="4">
        <v>0</v>
      </c>
      <c r="K447" s="4">
        <v>0</v>
      </c>
      <c r="L447" s="4">
        <v>678.78099999999995</v>
      </c>
      <c r="M447" s="4">
        <v>678.78099999999995</v>
      </c>
      <c r="N447" s="4">
        <v>678.78099999999995</v>
      </c>
      <c r="O447" s="4">
        <v>678.78099999999995</v>
      </c>
      <c r="P447" s="4">
        <v>1220</v>
      </c>
      <c r="Q447" s="3" t="s">
        <v>26</v>
      </c>
      <c r="R447" s="3">
        <v>0</v>
      </c>
      <c r="S447" s="3" t="s">
        <v>267</v>
      </c>
      <c r="T447" s="3" t="s">
        <v>428</v>
      </c>
      <c r="U447" s="3">
        <v>0</v>
      </c>
      <c r="V447" s="3">
        <v>66</v>
      </c>
      <c r="W447" s="3">
        <v>10</v>
      </c>
    </row>
    <row r="448" spans="1:23" ht="11.25" customHeight="1" x14ac:dyDescent="0.25">
      <c r="A448" s="3" t="s">
        <v>28</v>
      </c>
      <c r="B448" s="3" t="s">
        <v>33</v>
      </c>
      <c r="C448" s="3" t="s">
        <v>23</v>
      </c>
      <c r="D448" s="3" t="s">
        <v>40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44652</v>
      </c>
      <c r="J448" s="4">
        <v>0</v>
      </c>
      <c r="K448" s="4">
        <v>0</v>
      </c>
      <c r="L448" s="4">
        <v>39.656999999999996</v>
      </c>
      <c r="M448" s="4">
        <v>39.656999999999996</v>
      </c>
      <c r="N448" s="4">
        <v>39.656999999999996</v>
      </c>
      <c r="O448" s="4">
        <v>39.656999999999996</v>
      </c>
      <c r="P448" s="4">
        <v>48</v>
      </c>
      <c r="Q448" s="3" t="s">
        <v>26</v>
      </c>
      <c r="R448" s="3">
        <v>0</v>
      </c>
      <c r="S448" s="3" t="s">
        <v>267</v>
      </c>
      <c r="T448" s="3" t="s">
        <v>428</v>
      </c>
      <c r="U448" s="3">
        <v>0</v>
      </c>
      <c r="V448" s="3">
        <v>66</v>
      </c>
      <c r="W448" s="3">
        <v>10</v>
      </c>
    </row>
    <row r="449" spans="1:23" ht="11.25" customHeight="1" x14ac:dyDescent="0.25">
      <c r="A449" s="3" t="s">
        <v>21</v>
      </c>
      <c r="B449" s="3" t="s">
        <v>33</v>
      </c>
      <c r="C449" s="3" t="s">
        <v>23</v>
      </c>
      <c r="D449" s="3" t="s">
        <v>40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44682</v>
      </c>
      <c r="J449" s="4">
        <v>0</v>
      </c>
      <c r="K449" s="4">
        <v>0</v>
      </c>
      <c r="L449" s="4">
        <v>616.69600000000003</v>
      </c>
      <c r="M449" s="4">
        <v>616.69600000000003</v>
      </c>
      <c r="N449" s="4">
        <v>616.69600000000003</v>
      </c>
      <c r="O449" s="4">
        <v>616.69600000000003</v>
      </c>
      <c r="P449" s="4">
        <v>1213</v>
      </c>
      <c r="Q449" s="3" t="s">
        <v>26</v>
      </c>
      <c r="R449" s="3">
        <v>0</v>
      </c>
      <c r="S449" s="3" t="s">
        <v>268</v>
      </c>
      <c r="T449" s="3" t="s">
        <v>429</v>
      </c>
      <c r="U449" s="3">
        <v>0</v>
      </c>
      <c r="V449" s="3">
        <v>66</v>
      </c>
      <c r="W449" s="3">
        <v>10</v>
      </c>
    </row>
    <row r="450" spans="1:23" ht="11.25" customHeight="1" x14ac:dyDescent="0.25">
      <c r="A450" s="3" t="s">
        <v>28</v>
      </c>
      <c r="B450" s="3" t="s">
        <v>33</v>
      </c>
      <c r="C450" s="3" t="s">
        <v>23</v>
      </c>
      <c r="D450" s="3" t="s">
        <v>40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44682</v>
      </c>
      <c r="J450" s="4">
        <v>0</v>
      </c>
      <c r="K450" s="4">
        <v>0</v>
      </c>
      <c r="L450" s="4">
        <v>32.634</v>
      </c>
      <c r="M450" s="4">
        <v>32.634</v>
      </c>
      <c r="N450" s="4">
        <v>32.634</v>
      </c>
      <c r="O450" s="4">
        <v>32.634</v>
      </c>
      <c r="P450" s="4">
        <v>52</v>
      </c>
      <c r="Q450" s="3" t="s">
        <v>26</v>
      </c>
      <c r="R450" s="3">
        <v>0</v>
      </c>
      <c r="S450" s="3" t="s">
        <v>268</v>
      </c>
      <c r="T450" s="3" t="s">
        <v>429</v>
      </c>
      <c r="U450" s="3">
        <v>0</v>
      </c>
      <c r="V450" s="3">
        <v>66</v>
      </c>
      <c r="W450" s="3">
        <v>10</v>
      </c>
    </row>
    <row r="451" spans="1:23" ht="11.25" customHeight="1" x14ac:dyDescent="0.25">
      <c r="A451" s="3" t="s">
        <v>21</v>
      </c>
      <c r="B451" s="3" t="s">
        <v>33</v>
      </c>
      <c r="C451" s="3" t="s">
        <v>23</v>
      </c>
      <c r="D451" s="3" t="s">
        <v>40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44713</v>
      </c>
      <c r="J451" s="4">
        <v>0</v>
      </c>
      <c r="K451" s="4">
        <v>0</v>
      </c>
      <c r="L451" s="4">
        <v>616.24300000000005</v>
      </c>
      <c r="M451" s="4">
        <v>616.24300000000005</v>
      </c>
      <c r="N451" s="4">
        <v>616.24300000000005</v>
      </c>
      <c r="O451" s="4">
        <v>616.24300000000005</v>
      </c>
      <c r="P451" s="4">
        <v>1210</v>
      </c>
      <c r="Q451" s="3" t="s">
        <v>26</v>
      </c>
      <c r="R451" s="3">
        <v>0</v>
      </c>
      <c r="S451" s="3" t="s">
        <v>269</v>
      </c>
      <c r="T451" s="3" t="s">
        <v>430</v>
      </c>
      <c r="U451" s="3">
        <v>0</v>
      </c>
      <c r="V451" s="3">
        <v>66</v>
      </c>
      <c r="W451" s="3">
        <v>10</v>
      </c>
    </row>
    <row r="452" spans="1:23" ht="11.25" customHeight="1" x14ac:dyDescent="0.25">
      <c r="A452" s="3" t="s">
        <v>27</v>
      </c>
      <c r="B452" s="3" t="s">
        <v>33</v>
      </c>
      <c r="C452" s="3" t="s">
        <v>23</v>
      </c>
      <c r="D452" s="3" t="s">
        <v>40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44713</v>
      </c>
      <c r="J452" s="4">
        <v>0</v>
      </c>
      <c r="K452" s="4">
        <v>0</v>
      </c>
      <c r="L452" s="4">
        <v>-0.2</v>
      </c>
      <c r="M452" s="4">
        <v>-0.2</v>
      </c>
      <c r="N452" s="4">
        <v>-0.2</v>
      </c>
      <c r="O452" s="4">
        <v>-0.2</v>
      </c>
      <c r="P452" s="4">
        <v>0</v>
      </c>
      <c r="Q452" s="3" t="s">
        <v>26</v>
      </c>
      <c r="R452" s="3">
        <v>0</v>
      </c>
      <c r="S452" s="3" t="s">
        <v>269</v>
      </c>
      <c r="T452" s="3" t="s">
        <v>430</v>
      </c>
      <c r="U452" s="3">
        <v>0</v>
      </c>
      <c r="V452" s="3">
        <v>66</v>
      </c>
      <c r="W452" s="3">
        <v>10</v>
      </c>
    </row>
    <row r="453" spans="1:23" ht="11.25" customHeight="1" x14ac:dyDescent="0.25">
      <c r="A453" s="3" t="s">
        <v>28</v>
      </c>
      <c r="B453" s="3" t="s">
        <v>33</v>
      </c>
      <c r="C453" s="3" t="s">
        <v>23</v>
      </c>
      <c r="D453" s="3" t="s">
        <v>40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44713</v>
      </c>
      <c r="J453" s="4">
        <v>0</v>
      </c>
      <c r="K453" s="4">
        <v>0</v>
      </c>
      <c r="L453" s="4">
        <v>42.076999999999998</v>
      </c>
      <c r="M453" s="4">
        <v>42.076999999999998</v>
      </c>
      <c r="N453" s="4">
        <v>42.076999999999998</v>
      </c>
      <c r="O453" s="4">
        <v>42.076999999999998</v>
      </c>
      <c r="P453" s="4">
        <v>51</v>
      </c>
      <c r="Q453" s="3" t="s">
        <v>26</v>
      </c>
      <c r="R453" s="3">
        <v>0</v>
      </c>
      <c r="S453" s="3" t="s">
        <v>269</v>
      </c>
      <c r="T453" s="3" t="s">
        <v>430</v>
      </c>
      <c r="U453" s="3">
        <v>0</v>
      </c>
      <c r="V453" s="3">
        <v>66</v>
      </c>
      <c r="W453" s="3">
        <v>10</v>
      </c>
    </row>
    <row r="454" spans="1:23" ht="11.25" customHeight="1" x14ac:dyDescent="0.25">
      <c r="A454" s="3" t="s">
        <v>21</v>
      </c>
      <c r="B454" s="3" t="s">
        <v>33</v>
      </c>
      <c r="C454" s="3" t="s">
        <v>23</v>
      </c>
      <c r="D454" s="3" t="s">
        <v>40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44743</v>
      </c>
      <c r="J454" s="4">
        <v>0</v>
      </c>
      <c r="K454" s="4">
        <v>0</v>
      </c>
      <c r="L454" s="4">
        <v>632.80499999999995</v>
      </c>
      <c r="M454" s="4">
        <v>632.80499999999995</v>
      </c>
      <c r="N454" s="4">
        <v>632.80499999999995</v>
      </c>
      <c r="O454" s="4">
        <v>632.80499999999995</v>
      </c>
      <c r="P454" s="4">
        <v>1216</v>
      </c>
      <c r="Q454" s="3" t="s">
        <v>26</v>
      </c>
      <c r="R454" s="3">
        <v>0</v>
      </c>
      <c r="S454" s="3" t="s">
        <v>270</v>
      </c>
      <c r="T454" s="3" t="s">
        <v>431</v>
      </c>
      <c r="U454" s="3">
        <v>0</v>
      </c>
      <c r="V454" s="3">
        <v>66</v>
      </c>
      <c r="W454" s="3">
        <v>10</v>
      </c>
    </row>
    <row r="455" spans="1:23" ht="11.25" customHeight="1" x14ac:dyDescent="0.25">
      <c r="A455" s="3" t="s">
        <v>28</v>
      </c>
      <c r="B455" s="3" t="s">
        <v>33</v>
      </c>
      <c r="C455" s="3" t="s">
        <v>23</v>
      </c>
      <c r="D455" s="3" t="s">
        <v>40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44743</v>
      </c>
      <c r="J455" s="4">
        <v>0</v>
      </c>
      <c r="K455" s="4">
        <v>0</v>
      </c>
      <c r="L455" s="4">
        <v>42.026000000000003</v>
      </c>
      <c r="M455" s="4">
        <v>42.026000000000003</v>
      </c>
      <c r="N455" s="4">
        <v>42.026000000000003</v>
      </c>
      <c r="O455" s="4">
        <v>42.026000000000003</v>
      </c>
      <c r="P455" s="4">
        <v>51</v>
      </c>
      <c r="Q455" s="3" t="s">
        <v>26</v>
      </c>
      <c r="R455" s="3">
        <v>0</v>
      </c>
      <c r="S455" s="3" t="s">
        <v>270</v>
      </c>
      <c r="T455" s="3" t="s">
        <v>431</v>
      </c>
      <c r="U455" s="3">
        <v>0</v>
      </c>
      <c r="V455" s="3">
        <v>66</v>
      </c>
      <c r="W455" s="3">
        <v>10</v>
      </c>
    </row>
    <row r="456" spans="1:23" ht="11.25" customHeight="1" x14ac:dyDescent="0.25">
      <c r="A456" s="3" t="s">
        <v>55</v>
      </c>
      <c r="B456" s="3" t="s">
        <v>33</v>
      </c>
      <c r="C456" s="3" t="s">
        <v>23</v>
      </c>
      <c r="D456" s="3" t="s">
        <v>40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44774</v>
      </c>
      <c r="J456" s="4">
        <v>0</v>
      </c>
      <c r="K456" s="4">
        <v>0</v>
      </c>
      <c r="L456" s="4">
        <v>632.80499999999995</v>
      </c>
      <c r="M456" s="4">
        <v>632.80499999999995</v>
      </c>
      <c r="N456" s="4">
        <v>632.80499999999995</v>
      </c>
      <c r="O456" s="4">
        <v>632.80499999999995</v>
      </c>
      <c r="P456" s="4">
        <v>1216</v>
      </c>
      <c r="Q456" s="3" t="s">
        <v>26</v>
      </c>
      <c r="R456" s="3">
        <v>0</v>
      </c>
      <c r="S456" s="3" t="s">
        <v>271</v>
      </c>
      <c r="T456" s="3" t="s">
        <v>432</v>
      </c>
      <c r="U456" s="3">
        <v>0</v>
      </c>
      <c r="V456" s="3">
        <v>66</v>
      </c>
      <c r="W456" s="3">
        <v>10</v>
      </c>
    </row>
    <row r="457" spans="1:23" ht="11.25" customHeight="1" x14ac:dyDescent="0.25">
      <c r="A457" s="3" t="s">
        <v>55</v>
      </c>
      <c r="B457" s="3" t="s">
        <v>33</v>
      </c>
      <c r="C457" s="3" t="s">
        <v>23</v>
      </c>
      <c r="D457" s="3" t="s">
        <v>40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44774</v>
      </c>
      <c r="J457" s="4">
        <v>0</v>
      </c>
      <c r="K457" s="4">
        <v>0</v>
      </c>
      <c r="L457" s="4">
        <v>42.026000000000003</v>
      </c>
      <c r="M457" s="4">
        <v>42.026000000000003</v>
      </c>
      <c r="N457" s="4">
        <v>42.026000000000003</v>
      </c>
      <c r="O457" s="4">
        <v>42.026000000000003</v>
      </c>
      <c r="P457" s="4">
        <v>51</v>
      </c>
      <c r="Q457" s="3" t="s">
        <v>26</v>
      </c>
      <c r="R457" s="3">
        <v>0</v>
      </c>
      <c r="S457" s="3" t="s">
        <v>271</v>
      </c>
      <c r="T457" s="3" t="s">
        <v>432</v>
      </c>
      <c r="U457" s="3">
        <v>0</v>
      </c>
      <c r="V457" s="3">
        <v>66</v>
      </c>
      <c r="W457" s="3">
        <v>10</v>
      </c>
    </row>
    <row r="458" spans="1:23" ht="11.25" customHeight="1" x14ac:dyDescent="0.25">
      <c r="A458" s="3" t="s">
        <v>21</v>
      </c>
      <c r="B458" s="3" t="s">
        <v>33</v>
      </c>
      <c r="C458" s="3" t="s">
        <v>23</v>
      </c>
      <c r="D458" s="3" t="s">
        <v>51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44440</v>
      </c>
      <c r="J458" s="4">
        <v>0</v>
      </c>
      <c r="K458" s="4">
        <v>0</v>
      </c>
      <c r="L458" s="4">
        <v>5.7640000000000002</v>
      </c>
      <c r="M458" s="4">
        <v>5.7640000000000002</v>
      </c>
      <c r="N458" s="4">
        <v>5.7640000000000002</v>
      </c>
      <c r="O458" s="4">
        <v>5.7640000000000002</v>
      </c>
      <c r="P458" s="4">
        <v>3</v>
      </c>
      <c r="Q458" s="3" t="s">
        <v>26</v>
      </c>
      <c r="R458" s="3">
        <v>0</v>
      </c>
      <c r="S458" s="3" t="s">
        <v>260</v>
      </c>
      <c r="T458" s="3" t="s">
        <v>421</v>
      </c>
      <c r="U458" s="3">
        <v>0</v>
      </c>
      <c r="V458" s="3">
        <v>66</v>
      </c>
      <c r="W458" s="3">
        <v>10</v>
      </c>
    </row>
    <row r="459" spans="1:23" ht="11.25" customHeight="1" x14ac:dyDescent="0.25">
      <c r="A459" s="3" t="s">
        <v>21</v>
      </c>
      <c r="B459" s="3" t="s">
        <v>33</v>
      </c>
      <c r="C459" s="3" t="s">
        <v>23</v>
      </c>
      <c r="D459" s="3" t="s">
        <v>51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44470</v>
      </c>
      <c r="J459" s="4">
        <v>0</v>
      </c>
      <c r="K459" s="4">
        <v>0</v>
      </c>
      <c r="L459" s="4">
        <v>5.6</v>
      </c>
      <c r="M459" s="4">
        <v>5.6</v>
      </c>
      <c r="N459" s="4">
        <v>5.6</v>
      </c>
      <c r="O459" s="4">
        <v>5.6</v>
      </c>
      <c r="P459" s="4">
        <v>3</v>
      </c>
      <c r="Q459" s="3" t="s">
        <v>26</v>
      </c>
      <c r="R459" s="3">
        <v>0</v>
      </c>
      <c r="S459" s="3" t="s">
        <v>261</v>
      </c>
      <c r="T459" s="3" t="s">
        <v>422</v>
      </c>
      <c r="U459" s="3">
        <v>0</v>
      </c>
      <c r="V459" s="3">
        <v>66</v>
      </c>
      <c r="W459" s="3">
        <v>10</v>
      </c>
    </row>
    <row r="460" spans="1:23" ht="11.25" customHeight="1" x14ac:dyDescent="0.25">
      <c r="A460" s="3" t="s">
        <v>21</v>
      </c>
      <c r="B460" s="3" t="s">
        <v>33</v>
      </c>
      <c r="C460" s="3" t="s">
        <v>23</v>
      </c>
      <c r="D460" s="3" t="s">
        <v>51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44501</v>
      </c>
      <c r="J460" s="4">
        <v>0</v>
      </c>
      <c r="K460" s="4">
        <v>0</v>
      </c>
      <c r="L460" s="4">
        <v>6.5890000000000004</v>
      </c>
      <c r="M460" s="4">
        <v>6.5890000000000004</v>
      </c>
      <c r="N460" s="4">
        <v>6.5890000000000004</v>
      </c>
      <c r="O460" s="4">
        <v>6.5890000000000004</v>
      </c>
      <c r="P460" s="4">
        <v>3</v>
      </c>
      <c r="Q460" s="3" t="s">
        <v>26</v>
      </c>
      <c r="R460" s="3">
        <v>0</v>
      </c>
      <c r="S460" s="3" t="s">
        <v>262</v>
      </c>
      <c r="T460" s="3" t="s">
        <v>423</v>
      </c>
      <c r="U460" s="3">
        <v>0</v>
      </c>
      <c r="V460" s="3">
        <v>66</v>
      </c>
      <c r="W460" s="3">
        <v>10</v>
      </c>
    </row>
    <row r="461" spans="1:23" ht="11.25" customHeight="1" x14ac:dyDescent="0.25">
      <c r="A461" s="3" t="s">
        <v>21</v>
      </c>
      <c r="B461" s="3" t="s">
        <v>33</v>
      </c>
      <c r="C461" s="3" t="s">
        <v>23</v>
      </c>
      <c r="D461" s="3" t="s">
        <v>51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8.6780000000000008</v>
      </c>
      <c r="M461" s="4">
        <v>8.6780000000000008</v>
      </c>
      <c r="N461" s="4">
        <v>8.6780000000000008</v>
      </c>
      <c r="O461" s="4">
        <v>8.6780000000000008</v>
      </c>
      <c r="P461" s="4">
        <v>3</v>
      </c>
      <c r="Q461" s="3" t="s">
        <v>26</v>
      </c>
      <c r="R461" s="3">
        <v>0</v>
      </c>
      <c r="S461" s="3" t="s">
        <v>263</v>
      </c>
      <c r="T461" s="3" t="s">
        <v>424</v>
      </c>
      <c r="U461" s="3">
        <v>0</v>
      </c>
      <c r="V461" s="3">
        <v>66</v>
      </c>
      <c r="W461" s="3">
        <v>10</v>
      </c>
    </row>
    <row r="462" spans="1:23" ht="11.25" customHeight="1" x14ac:dyDescent="0.25">
      <c r="A462" s="3" t="s">
        <v>21</v>
      </c>
      <c r="B462" s="3" t="s">
        <v>33</v>
      </c>
      <c r="C462" s="3" t="s">
        <v>23</v>
      </c>
      <c r="D462" s="3" t="s">
        <v>51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44562</v>
      </c>
      <c r="J462" s="4">
        <v>0</v>
      </c>
      <c r="K462" s="4">
        <v>0</v>
      </c>
      <c r="L462" s="4">
        <v>10.233000000000001</v>
      </c>
      <c r="M462" s="4">
        <v>10.233000000000001</v>
      </c>
      <c r="N462" s="4">
        <v>10.233000000000001</v>
      </c>
      <c r="O462" s="4">
        <v>10.233000000000001</v>
      </c>
      <c r="P462" s="4">
        <v>3</v>
      </c>
      <c r="Q462" s="3" t="s">
        <v>26</v>
      </c>
      <c r="R462" s="3">
        <v>0</v>
      </c>
      <c r="S462" s="3" t="s">
        <v>264</v>
      </c>
      <c r="T462" s="3" t="s">
        <v>425</v>
      </c>
      <c r="U462" s="3">
        <v>0</v>
      </c>
      <c r="V462" s="3">
        <v>66</v>
      </c>
      <c r="W462" s="3">
        <v>10</v>
      </c>
    </row>
    <row r="463" spans="1:23" ht="11.25" customHeight="1" x14ac:dyDescent="0.25">
      <c r="A463" s="3" t="s">
        <v>21</v>
      </c>
      <c r="B463" s="3" t="s">
        <v>33</v>
      </c>
      <c r="C463" s="3" t="s">
        <v>23</v>
      </c>
      <c r="D463" s="3" t="s">
        <v>51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44593</v>
      </c>
      <c r="J463" s="4">
        <v>0</v>
      </c>
      <c r="K463" s="4">
        <v>0</v>
      </c>
      <c r="L463" s="4">
        <v>9.0310000000000006</v>
      </c>
      <c r="M463" s="4">
        <v>9.0310000000000006</v>
      </c>
      <c r="N463" s="4">
        <v>9.0310000000000006</v>
      </c>
      <c r="O463" s="4">
        <v>9.0310000000000006</v>
      </c>
      <c r="P463" s="4">
        <v>3</v>
      </c>
      <c r="Q463" s="3" t="s">
        <v>26</v>
      </c>
      <c r="R463" s="3">
        <v>0</v>
      </c>
      <c r="S463" s="3" t="s">
        <v>265</v>
      </c>
      <c r="T463" s="3" t="s">
        <v>426</v>
      </c>
      <c r="U463" s="3">
        <v>0</v>
      </c>
      <c r="V463" s="3">
        <v>66</v>
      </c>
      <c r="W463" s="3">
        <v>10</v>
      </c>
    </row>
    <row r="464" spans="1:23" ht="11.25" customHeight="1" x14ac:dyDescent="0.25">
      <c r="A464" s="3" t="s">
        <v>21</v>
      </c>
      <c r="B464" s="3" t="s">
        <v>33</v>
      </c>
      <c r="C464" s="3" t="s">
        <v>23</v>
      </c>
      <c r="D464" s="3" t="s">
        <v>51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8.0239999999999991</v>
      </c>
      <c r="M464" s="4">
        <v>8.0239999999999991</v>
      </c>
      <c r="N464" s="4">
        <v>8.0239999999999991</v>
      </c>
      <c r="O464" s="4">
        <v>8.0239999999999991</v>
      </c>
      <c r="P464" s="4">
        <v>4</v>
      </c>
      <c r="Q464" s="3" t="s">
        <v>26</v>
      </c>
      <c r="R464" s="3">
        <v>0</v>
      </c>
      <c r="S464" s="3" t="s">
        <v>266</v>
      </c>
      <c r="T464" s="3" t="s">
        <v>427</v>
      </c>
      <c r="U464" s="3">
        <v>0</v>
      </c>
      <c r="V464" s="3">
        <v>66</v>
      </c>
      <c r="W464" s="3">
        <v>10</v>
      </c>
    </row>
    <row r="465" spans="1:23" ht="11.25" customHeight="1" x14ac:dyDescent="0.25">
      <c r="A465" s="3" t="s">
        <v>21</v>
      </c>
      <c r="B465" s="3" t="s">
        <v>33</v>
      </c>
      <c r="C465" s="3" t="s">
        <v>23</v>
      </c>
      <c r="D465" s="3" t="s">
        <v>51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44652</v>
      </c>
      <c r="J465" s="4">
        <v>0</v>
      </c>
      <c r="K465" s="4">
        <v>0</v>
      </c>
      <c r="L465" s="4">
        <v>6.7210000000000001</v>
      </c>
      <c r="M465" s="4">
        <v>6.7210000000000001</v>
      </c>
      <c r="N465" s="4">
        <v>6.7210000000000001</v>
      </c>
      <c r="O465" s="4">
        <v>6.7210000000000001</v>
      </c>
      <c r="P465" s="4">
        <v>4</v>
      </c>
      <c r="Q465" s="3" t="s">
        <v>26</v>
      </c>
      <c r="R465" s="3">
        <v>0</v>
      </c>
      <c r="S465" s="3" t="s">
        <v>267</v>
      </c>
      <c r="T465" s="3" t="s">
        <v>428</v>
      </c>
      <c r="U465" s="3">
        <v>0</v>
      </c>
      <c r="V465" s="3">
        <v>66</v>
      </c>
      <c r="W465" s="3">
        <v>10</v>
      </c>
    </row>
    <row r="466" spans="1:23" ht="11.25" customHeight="1" x14ac:dyDescent="0.25">
      <c r="A466" s="3" t="s">
        <v>21</v>
      </c>
      <c r="B466" s="3" t="s">
        <v>33</v>
      </c>
      <c r="C466" s="3" t="s">
        <v>23</v>
      </c>
      <c r="D466" s="3" t="s">
        <v>51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44682</v>
      </c>
      <c r="J466" s="4">
        <v>0</v>
      </c>
      <c r="K466" s="4">
        <v>0</v>
      </c>
      <c r="L466" s="4">
        <v>4.9660000000000002</v>
      </c>
      <c r="M466" s="4">
        <v>4.9660000000000002</v>
      </c>
      <c r="N466" s="4">
        <v>4.9660000000000002</v>
      </c>
      <c r="O466" s="4">
        <v>4.9660000000000002</v>
      </c>
      <c r="P466" s="4">
        <v>4</v>
      </c>
      <c r="Q466" s="3" t="s">
        <v>26</v>
      </c>
      <c r="R466" s="3">
        <v>0</v>
      </c>
      <c r="S466" s="3" t="s">
        <v>268</v>
      </c>
      <c r="T466" s="3" t="s">
        <v>429</v>
      </c>
      <c r="U466" s="3">
        <v>0</v>
      </c>
      <c r="V466" s="3">
        <v>66</v>
      </c>
      <c r="W466" s="3">
        <v>10</v>
      </c>
    </row>
    <row r="467" spans="1:23" ht="11.25" customHeight="1" x14ac:dyDescent="0.25">
      <c r="A467" s="3" t="s">
        <v>21</v>
      </c>
      <c r="B467" s="3" t="s">
        <v>33</v>
      </c>
      <c r="C467" s="3" t="s">
        <v>23</v>
      </c>
      <c r="D467" s="3" t="s">
        <v>51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44713</v>
      </c>
      <c r="J467" s="4">
        <v>0</v>
      </c>
      <c r="K467" s="4">
        <v>0</v>
      </c>
      <c r="L467" s="4">
        <v>5.4729999999999999</v>
      </c>
      <c r="M467" s="4">
        <v>5.4729999999999999</v>
      </c>
      <c r="N467" s="4">
        <v>5.4729999999999999</v>
      </c>
      <c r="O467" s="4">
        <v>5.4729999999999999</v>
      </c>
      <c r="P467" s="4">
        <v>4</v>
      </c>
      <c r="Q467" s="3" t="s">
        <v>26</v>
      </c>
      <c r="R467" s="3">
        <v>0</v>
      </c>
      <c r="S467" s="3" t="s">
        <v>269</v>
      </c>
      <c r="T467" s="3" t="s">
        <v>430</v>
      </c>
      <c r="U467" s="3">
        <v>0</v>
      </c>
      <c r="V467" s="3">
        <v>66</v>
      </c>
      <c r="W467" s="3">
        <v>10</v>
      </c>
    </row>
    <row r="468" spans="1:23" ht="11.25" customHeight="1" x14ac:dyDescent="0.25">
      <c r="A468" s="3" t="s">
        <v>21</v>
      </c>
      <c r="B468" s="3" t="s">
        <v>33</v>
      </c>
      <c r="C468" s="3" t="s">
        <v>23</v>
      </c>
      <c r="D468" s="3" t="s">
        <v>51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44743</v>
      </c>
      <c r="J468" s="4">
        <v>0</v>
      </c>
      <c r="K468" s="4">
        <v>0</v>
      </c>
      <c r="L468" s="4">
        <v>5.3940000000000001</v>
      </c>
      <c r="M468" s="4">
        <v>5.3940000000000001</v>
      </c>
      <c r="N468" s="4">
        <v>5.3940000000000001</v>
      </c>
      <c r="O468" s="4">
        <v>5.3940000000000001</v>
      </c>
      <c r="P468" s="4">
        <v>4</v>
      </c>
      <c r="Q468" s="3" t="s">
        <v>26</v>
      </c>
      <c r="R468" s="3">
        <v>0</v>
      </c>
      <c r="S468" s="3" t="s">
        <v>270</v>
      </c>
      <c r="T468" s="3" t="s">
        <v>431</v>
      </c>
      <c r="U468" s="3">
        <v>0</v>
      </c>
      <c r="V468" s="3">
        <v>66</v>
      </c>
      <c r="W468" s="3">
        <v>10</v>
      </c>
    </row>
    <row r="469" spans="1:23" ht="11.25" customHeight="1" x14ac:dyDescent="0.25">
      <c r="A469" s="3" t="s">
        <v>55</v>
      </c>
      <c r="B469" s="3" t="s">
        <v>33</v>
      </c>
      <c r="C469" s="3" t="s">
        <v>23</v>
      </c>
      <c r="D469" s="3" t="s">
        <v>51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44774</v>
      </c>
      <c r="J469" s="4">
        <v>0</v>
      </c>
      <c r="K469" s="4">
        <v>0</v>
      </c>
      <c r="L469" s="4">
        <v>5.3940000000000001</v>
      </c>
      <c r="M469" s="4">
        <v>5.3940000000000001</v>
      </c>
      <c r="N469" s="4">
        <v>5.3940000000000001</v>
      </c>
      <c r="O469" s="4">
        <v>5.3940000000000001</v>
      </c>
      <c r="P469" s="4">
        <v>4</v>
      </c>
      <c r="Q469" s="3" t="s">
        <v>26</v>
      </c>
      <c r="R469" s="3">
        <v>0</v>
      </c>
      <c r="S469" s="3" t="s">
        <v>271</v>
      </c>
      <c r="T469" s="3" t="s">
        <v>432</v>
      </c>
      <c r="U469" s="3">
        <v>0</v>
      </c>
      <c r="V469" s="3">
        <v>66</v>
      </c>
      <c r="W469" s="3">
        <v>10</v>
      </c>
    </row>
    <row r="470" spans="1:23" ht="11.25" customHeight="1" x14ac:dyDescent="0.25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44440</v>
      </c>
      <c r="J470" s="4">
        <v>0</v>
      </c>
      <c r="K470" s="4">
        <v>0</v>
      </c>
      <c r="L470" s="4">
        <v>356.65600000000001</v>
      </c>
      <c r="M470" s="4">
        <v>356.65600000000001</v>
      </c>
      <c r="N470" s="4">
        <v>356.65600000000001</v>
      </c>
      <c r="O470" s="4">
        <v>356.65600000000001</v>
      </c>
      <c r="P470" s="4">
        <v>541</v>
      </c>
      <c r="Q470" s="3" t="s">
        <v>26</v>
      </c>
      <c r="R470" s="3">
        <v>0</v>
      </c>
      <c r="S470" s="3" t="s">
        <v>260</v>
      </c>
      <c r="T470" s="3" t="s">
        <v>421</v>
      </c>
      <c r="U470" s="3">
        <v>0</v>
      </c>
      <c r="V470" s="3">
        <v>66</v>
      </c>
      <c r="W470" s="3">
        <v>10</v>
      </c>
    </row>
    <row r="471" spans="1:23" ht="11.25" customHeight="1" x14ac:dyDescent="0.25">
      <c r="A471" s="3" t="s">
        <v>27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44440</v>
      </c>
      <c r="J471" s="4">
        <v>0</v>
      </c>
      <c r="K471" s="4">
        <v>0</v>
      </c>
      <c r="L471" s="4">
        <v>-0.03</v>
      </c>
      <c r="M471" s="4">
        <v>-0.03</v>
      </c>
      <c r="N471" s="4">
        <v>-0.03</v>
      </c>
      <c r="O471" s="4">
        <v>-0.03</v>
      </c>
      <c r="P471" s="4">
        <v>0</v>
      </c>
      <c r="Q471" s="3" t="s">
        <v>26</v>
      </c>
      <c r="R471" s="3">
        <v>0</v>
      </c>
      <c r="S471" s="3" t="s">
        <v>260</v>
      </c>
      <c r="T471" s="3" t="s">
        <v>421</v>
      </c>
      <c r="U471" s="3">
        <v>0</v>
      </c>
      <c r="V471" s="3">
        <v>66</v>
      </c>
      <c r="W471" s="3">
        <v>10</v>
      </c>
    </row>
    <row r="472" spans="1:23" ht="11.25" customHeight="1" x14ac:dyDescent="0.25">
      <c r="A472" s="3" t="s">
        <v>28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44440</v>
      </c>
      <c r="J472" s="4">
        <v>0</v>
      </c>
      <c r="K472" s="4">
        <v>0</v>
      </c>
      <c r="L472" s="4">
        <v>9.1750000000000007</v>
      </c>
      <c r="M472" s="4">
        <v>9.1750000000000007</v>
      </c>
      <c r="N472" s="4">
        <v>9.1750000000000007</v>
      </c>
      <c r="O472" s="4">
        <v>9.1750000000000007</v>
      </c>
      <c r="P472" s="4">
        <v>6</v>
      </c>
      <c r="Q472" s="3" t="s">
        <v>26</v>
      </c>
      <c r="R472" s="3">
        <v>0</v>
      </c>
      <c r="S472" s="3" t="s">
        <v>260</v>
      </c>
      <c r="T472" s="3" t="s">
        <v>421</v>
      </c>
      <c r="U472" s="3">
        <v>0</v>
      </c>
      <c r="V472" s="3">
        <v>66</v>
      </c>
      <c r="W472" s="3">
        <v>10</v>
      </c>
    </row>
    <row r="473" spans="1:23" ht="11.25" customHeight="1" x14ac:dyDescent="0.25">
      <c r="A473" s="3" t="s">
        <v>21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44470</v>
      </c>
      <c r="J473" s="4">
        <v>0</v>
      </c>
      <c r="K473" s="4">
        <v>0</v>
      </c>
      <c r="L473" s="4">
        <v>343.846</v>
      </c>
      <c r="M473" s="4">
        <v>343.846</v>
      </c>
      <c r="N473" s="4">
        <v>343.846</v>
      </c>
      <c r="O473" s="4">
        <v>343.846</v>
      </c>
      <c r="P473" s="4">
        <v>550</v>
      </c>
      <c r="Q473" s="3" t="s">
        <v>26</v>
      </c>
      <c r="R473" s="3">
        <v>0</v>
      </c>
      <c r="S473" s="3" t="s">
        <v>261</v>
      </c>
      <c r="T473" s="3" t="s">
        <v>422</v>
      </c>
      <c r="U473" s="3">
        <v>0</v>
      </c>
      <c r="V473" s="3">
        <v>66</v>
      </c>
      <c r="W473" s="3">
        <v>10</v>
      </c>
    </row>
    <row r="474" spans="1:23" ht="11.25" customHeight="1" x14ac:dyDescent="0.25">
      <c r="A474" s="3" t="s">
        <v>27</v>
      </c>
      <c r="B474" s="3" t="s">
        <v>33</v>
      </c>
      <c r="C474" s="3" t="s">
        <v>23</v>
      </c>
      <c r="D474" s="3" t="s">
        <v>34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44470</v>
      </c>
      <c r="J474" s="4">
        <v>0</v>
      </c>
      <c r="K474" s="4">
        <v>0</v>
      </c>
      <c r="L474" s="4">
        <v>0.91</v>
      </c>
      <c r="M474" s="4">
        <v>0.91</v>
      </c>
      <c r="N474" s="4">
        <v>0.91</v>
      </c>
      <c r="O474" s="4">
        <v>0.91</v>
      </c>
      <c r="P474" s="4">
        <v>0</v>
      </c>
      <c r="Q474" s="3" t="s">
        <v>26</v>
      </c>
      <c r="R474" s="3">
        <v>0</v>
      </c>
      <c r="S474" s="3" t="s">
        <v>261</v>
      </c>
      <c r="T474" s="3" t="s">
        <v>422</v>
      </c>
      <c r="U474" s="3">
        <v>0</v>
      </c>
      <c r="V474" s="3">
        <v>66</v>
      </c>
      <c r="W474" s="3">
        <v>10</v>
      </c>
    </row>
    <row r="475" spans="1:23" ht="11.25" customHeight="1" x14ac:dyDescent="0.25">
      <c r="A475" s="3" t="s">
        <v>28</v>
      </c>
      <c r="B475" s="3" t="s">
        <v>33</v>
      </c>
      <c r="C475" s="3" t="s">
        <v>23</v>
      </c>
      <c r="D475" s="3" t="s">
        <v>34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44470</v>
      </c>
      <c r="J475" s="4">
        <v>0</v>
      </c>
      <c r="K475" s="4">
        <v>0</v>
      </c>
      <c r="L475" s="4">
        <v>6.0739999999999998</v>
      </c>
      <c r="M475" s="4">
        <v>6.0739999999999998</v>
      </c>
      <c r="N475" s="4">
        <v>6.0739999999999998</v>
      </c>
      <c r="O475" s="4">
        <v>6.0739999999999998</v>
      </c>
      <c r="P475" s="4">
        <v>6</v>
      </c>
      <c r="Q475" s="3" t="s">
        <v>26</v>
      </c>
      <c r="R475" s="3">
        <v>0</v>
      </c>
      <c r="S475" s="3" t="s">
        <v>261</v>
      </c>
      <c r="T475" s="3" t="s">
        <v>422</v>
      </c>
      <c r="U475" s="3">
        <v>0</v>
      </c>
      <c r="V475" s="3">
        <v>66</v>
      </c>
      <c r="W475" s="3">
        <v>10</v>
      </c>
    </row>
    <row r="476" spans="1:23" ht="11.25" customHeight="1" x14ac:dyDescent="0.25">
      <c r="A476" s="3" t="s">
        <v>21</v>
      </c>
      <c r="B476" s="3" t="s">
        <v>33</v>
      </c>
      <c r="C476" s="3" t="s">
        <v>23</v>
      </c>
      <c r="D476" s="3" t="s">
        <v>34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44501</v>
      </c>
      <c r="J476" s="4">
        <v>0</v>
      </c>
      <c r="K476" s="4">
        <v>0</v>
      </c>
      <c r="L476" s="4">
        <v>330.74299999999999</v>
      </c>
      <c r="M476" s="4">
        <v>330.74299999999999</v>
      </c>
      <c r="N476" s="4">
        <v>330.74299999999999</v>
      </c>
      <c r="O476" s="4">
        <v>330.74299999999999</v>
      </c>
      <c r="P476" s="4">
        <v>553</v>
      </c>
      <c r="Q476" s="3" t="s">
        <v>26</v>
      </c>
      <c r="R476" s="3">
        <v>0</v>
      </c>
      <c r="S476" s="3" t="s">
        <v>262</v>
      </c>
      <c r="T476" s="3" t="s">
        <v>423</v>
      </c>
      <c r="U476" s="3">
        <v>0</v>
      </c>
      <c r="V476" s="3">
        <v>66</v>
      </c>
      <c r="W476" s="3">
        <v>10</v>
      </c>
    </row>
    <row r="477" spans="1:23" ht="11.25" customHeight="1" x14ac:dyDescent="0.25">
      <c r="A477" s="3" t="s">
        <v>27</v>
      </c>
      <c r="B477" s="3" t="s">
        <v>33</v>
      </c>
      <c r="C477" s="3" t="s">
        <v>23</v>
      </c>
      <c r="D477" s="3" t="s">
        <v>34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44501</v>
      </c>
      <c r="J477" s="4">
        <v>0</v>
      </c>
      <c r="K477" s="4">
        <v>0</v>
      </c>
      <c r="L477" s="4">
        <v>4.492</v>
      </c>
      <c r="M477" s="4">
        <v>4.492</v>
      </c>
      <c r="N477" s="4">
        <v>4.492</v>
      </c>
      <c r="O477" s="4">
        <v>4.492</v>
      </c>
      <c r="P477" s="4">
        <v>0</v>
      </c>
      <c r="Q477" s="3" t="s">
        <v>26</v>
      </c>
      <c r="R477" s="3">
        <v>0</v>
      </c>
      <c r="S477" s="3" t="s">
        <v>262</v>
      </c>
      <c r="T477" s="3" t="s">
        <v>423</v>
      </c>
      <c r="U477" s="3">
        <v>0</v>
      </c>
      <c r="V477" s="3">
        <v>66</v>
      </c>
      <c r="W477" s="3">
        <v>10</v>
      </c>
    </row>
    <row r="478" spans="1:23" ht="11.25" customHeight="1" x14ac:dyDescent="0.25">
      <c r="A478" s="3" t="s">
        <v>28</v>
      </c>
      <c r="B478" s="3" t="s">
        <v>33</v>
      </c>
      <c r="C478" s="3" t="s">
        <v>23</v>
      </c>
      <c r="D478" s="3" t="s">
        <v>34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44501</v>
      </c>
      <c r="J478" s="4">
        <v>0</v>
      </c>
      <c r="K478" s="4">
        <v>0</v>
      </c>
      <c r="L478" s="4">
        <v>7.4939999999999998</v>
      </c>
      <c r="M478" s="4">
        <v>7.4939999999999998</v>
      </c>
      <c r="N478" s="4">
        <v>7.4939999999999998</v>
      </c>
      <c r="O478" s="4">
        <v>7.4939999999999998</v>
      </c>
      <c r="P478" s="4">
        <v>8</v>
      </c>
      <c r="Q478" s="3" t="s">
        <v>26</v>
      </c>
      <c r="R478" s="3">
        <v>0</v>
      </c>
      <c r="S478" s="3" t="s">
        <v>262</v>
      </c>
      <c r="T478" s="3" t="s">
        <v>423</v>
      </c>
      <c r="U478" s="3">
        <v>0</v>
      </c>
      <c r="V478" s="3">
        <v>66</v>
      </c>
      <c r="W478" s="3">
        <v>10</v>
      </c>
    </row>
    <row r="479" spans="1:23" ht="11.25" customHeight="1" x14ac:dyDescent="0.25">
      <c r="A479" s="3" t="s">
        <v>21</v>
      </c>
      <c r="B479" s="3" t="s">
        <v>33</v>
      </c>
      <c r="C479" s="3" t="s">
        <v>23</v>
      </c>
      <c r="D479" s="3" t="s">
        <v>34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44531</v>
      </c>
      <c r="J479" s="4">
        <v>0</v>
      </c>
      <c r="K479" s="4">
        <v>0</v>
      </c>
      <c r="L479" s="4">
        <v>357.19900000000001</v>
      </c>
      <c r="M479" s="4">
        <v>357.19900000000001</v>
      </c>
      <c r="N479" s="4">
        <v>357.19900000000001</v>
      </c>
      <c r="O479" s="4">
        <v>357.19900000000001</v>
      </c>
      <c r="P479" s="4">
        <v>559</v>
      </c>
      <c r="Q479" s="3" t="s">
        <v>26</v>
      </c>
      <c r="R479" s="3">
        <v>0</v>
      </c>
      <c r="S479" s="3" t="s">
        <v>263</v>
      </c>
      <c r="T479" s="3" t="s">
        <v>424</v>
      </c>
      <c r="U479" s="3">
        <v>0</v>
      </c>
      <c r="V479" s="3">
        <v>66</v>
      </c>
      <c r="W479" s="3">
        <v>10</v>
      </c>
    </row>
    <row r="480" spans="1:23" ht="11.25" customHeight="1" x14ac:dyDescent="0.25">
      <c r="A480" s="3" t="s">
        <v>28</v>
      </c>
      <c r="B480" s="3" t="s">
        <v>33</v>
      </c>
      <c r="C480" s="3" t="s">
        <v>23</v>
      </c>
      <c r="D480" s="3" t="s">
        <v>34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44531</v>
      </c>
      <c r="J480" s="4">
        <v>0</v>
      </c>
      <c r="K480" s="4">
        <v>0</v>
      </c>
      <c r="L480" s="4">
        <v>4.8369999999999997</v>
      </c>
      <c r="M480" s="4">
        <v>4.8369999999999997</v>
      </c>
      <c r="N480" s="4">
        <v>4.8369999999999997</v>
      </c>
      <c r="O480" s="4">
        <v>4.8369999999999997</v>
      </c>
      <c r="P480" s="4">
        <v>8</v>
      </c>
      <c r="Q480" s="3" t="s">
        <v>26</v>
      </c>
      <c r="R480" s="3">
        <v>0</v>
      </c>
      <c r="S480" s="3" t="s">
        <v>263</v>
      </c>
      <c r="T480" s="3" t="s">
        <v>424</v>
      </c>
      <c r="U480" s="3">
        <v>0</v>
      </c>
      <c r="V480" s="3">
        <v>66</v>
      </c>
      <c r="W480" s="3">
        <v>10</v>
      </c>
    </row>
    <row r="481" spans="1:23" ht="11.25" customHeight="1" x14ac:dyDescent="0.25">
      <c r="A481" s="3" t="s">
        <v>21</v>
      </c>
      <c r="B481" s="3" t="s">
        <v>33</v>
      </c>
      <c r="C481" s="3" t="s">
        <v>23</v>
      </c>
      <c r="D481" s="3" t="s">
        <v>34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44562</v>
      </c>
      <c r="J481" s="4">
        <v>0</v>
      </c>
      <c r="K481" s="4">
        <v>0</v>
      </c>
      <c r="L481" s="4">
        <v>375.02499999999998</v>
      </c>
      <c r="M481" s="4">
        <v>375.02499999999998</v>
      </c>
      <c r="N481" s="4">
        <v>375.02499999999998</v>
      </c>
      <c r="O481" s="4">
        <v>375.02499999999998</v>
      </c>
      <c r="P481" s="4">
        <v>559</v>
      </c>
      <c r="Q481" s="3" t="s">
        <v>26</v>
      </c>
      <c r="R481" s="3">
        <v>0</v>
      </c>
      <c r="S481" s="3" t="s">
        <v>264</v>
      </c>
      <c r="T481" s="3" t="s">
        <v>425</v>
      </c>
      <c r="U481" s="3">
        <v>0</v>
      </c>
      <c r="V481" s="3">
        <v>66</v>
      </c>
      <c r="W481" s="3">
        <v>10</v>
      </c>
    </row>
    <row r="482" spans="1:23" ht="11.25" customHeight="1" x14ac:dyDescent="0.25">
      <c r="A482" s="3" t="s">
        <v>27</v>
      </c>
      <c r="B482" s="3" t="s">
        <v>33</v>
      </c>
      <c r="C482" s="3" t="s">
        <v>23</v>
      </c>
      <c r="D482" s="3" t="s">
        <v>34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44562</v>
      </c>
      <c r="J482" s="4">
        <v>0</v>
      </c>
      <c r="K482" s="4">
        <v>0</v>
      </c>
      <c r="L482" s="4">
        <v>-0.56399999999999995</v>
      </c>
      <c r="M482" s="4">
        <v>-0.56399999999999995</v>
      </c>
      <c r="N482" s="4">
        <v>-0.56399999999999995</v>
      </c>
      <c r="O482" s="4">
        <v>-0.56399999999999995</v>
      </c>
      <c r="P482" s="4">
        <v>0</v>
      </c>
      <c r="Q482" s="3" t="s">
        <v>26</v>
      </c>
      <c r="R482" s="3">
        <v>0</v>
      </c>
      <c r="S482" s="3" t="s">
        <v>264</v>
      </c>
      <c r="T482" s="3" t="s">
        <v>425</v>
      </c>
      <c r="U482" s="3">
        <v>0</v>
      </c>
      <c r="V482" s="3">
        <v>66</v>
      </c>
      <c r="W482" s="3">
        <v>10</v>
      </c>
    </row>
    <row r="483" spans="1:23" ht="11.25" customHeight="1" x14ac:dyDescent="0.25">
      <c r="A483" s="3" t="s">
        <v>28</v>
      </c>
      <c r="B483" s="3" t="s">
        <v>33</v>
      </c>
      <c r="C483" s="3" t="s">
        <v>23</v>
      </c>
      <c r="D483" s="3" t="s">
        <v>34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44562</v>
      </c>
      <c r="J483" s="4">
        <v>0</v>
      </c>
      <c r="K483" s="4">
        <v>0</v>
      </c>
      <c r="L483" s="4">
        <v>0.9</v>
      </c>
      <c r="M483" s="4">
        <v>0.9</v>
      </c>
      <c r="N483" s="4">
        <v>0.9</v>
      </c>
      <c r="O483" s="4">
        <v>0.9</v>
      </c>
      <c r="P483" s="4">
        <v>9</v>
      </c>
      <c r="Q483" s="3" t="s">
        <v>26</v>
      </c>
      <c r="R483" s="3">
        <v>0</v>
      </c>
      <c r="S483" s="3" t="s">
        <v>264</v>
      </c>
      <c r="T483" s="3" t="s">
        <v>425</v>
      </c>
      <c r="U483" s="3">
        <v>0</v>
      </c>
      <c r="V483" s="3">
        <v>66</v>
      </c>
      <c r="W483" s="3">
        <v>10</v>
      </c>
    </row>
    <row r="484" spans="1:23" ht="11.25" customHeight="1" x14ac:dyDescent="0.25">
      <c r="A484" s="3" t="s">
        <v>21</v>
      </c>
      <c r="B484" s="3" t="s">
        <v>33</v>
      </c>
      <c r="C484" s="3" t="s">
        <v>23</v>
      </c>
      <c r="D484" s="3" t="s">
        <v>34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44593</v>
      </c>
      <c r="J484" s="4">
        <v>0</v>
      </c>
      <c r="K484" s="4">
        <v>0</v>
      </c>
      <c r="L484" s="4">
        <v>433.52</v>
      </c>
      <c r="M484" s="4">
        <v>433.52</v>
      </c>
      <c r="N484" s="4">
        <v>433.52</v>
      </c>
      <c r="O484" s="4">
        <v>433.52</v>
      </c>
      <c r="P484" s="4">
        <v>562</v>
      </c>
      <c r="Q484" s="3" t="s">
        <v>26</v>
      </c>
      <c r="R484" s="3">
        <v>0</v>
      </c>
      <c r="S484" s="3" t="s">
        <v>265</v>
      </c>
      <c r="T484" s="3" t="s">
        <v>426</v>
      </c>
      <c r="U484" s="3">
        <v>0</v>
      </c>
      <c r="V484" s="3">
        <v>66</v>
      </c>
      <c r="W484" s="3">
        <v>10</v>
      </c>
    </row>
    <row r="485" spans="1:23" ht="11.25" customHeight="1" x14ac:dyDescent="0.25">
      <c r="A485" s="3" t="s">
        <v>27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44593</v>
      </c>
      <c r="J485" s="4">
        <v>0</v>
      </c>
      <c r="K485" s="4">
        <v>0</v>
      </c>
      <c r="L485" s="4">
        <v>-0.42799999999999999</v>
      </c>
      <c r="M485" s="4">
        <v>-0.42799999999999999</v>
      </c>
      <c r="N485" s="4">
        <v>-0.42799999999999999</v>
      </c>
      <c r="O485" s="4">
        <v>-0.42799999999999999</v>
      </c>
      <c r="P485" s="4">
        <v>0</v>
      </c>
      <c r="Q485" s="3" t="s">
        <v>26</v>
      </c>
      <c r="R485" s="3">
        <v>0</v>
      </c>
      <c r="S485" s="3" t="s">
        <v>265</v>
      </c>
      <c r="T485" s="3" t="s">
        <v>426</v>
      </c>
      <c r="U485" s="3">
        <v>0</v>
      </c>
      <c r="V485" s="3">
        <v>66</v>
      </c>
      <c r="W485" s="3">
        <v>10</v>
      </c>
    </row>
    <row r="486" spans="1:2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44593</v>
      </c>
      <c r="J486" s="4">
        <v>0</v>
      </c>
      <c r="K486" s="4">
        <v>0</v>
      </c>
      <c r="L486" s="4">
        <v>0.9</v>
      </c>
      <c r="M486" s="4">
        <v>0.9</v>
      </c>
      <c r="N486" s="4">
        <v>0.9</v>
      </c>
      <c r="O486" s="4">
        <v>0.9</v>
      </c>
      <c r="P486" s="4">
        <v>9</v>
      </c>
      <c r="Q486" s="3" t="s">
        <v>26</v>
      </c>
      <c r="R486" s="3">
        <v>0</v>
      </c>
      <c r="S486" s="3" t="s">
        <v>265</v>
      </c>
      <c r="T486" s="3" t="s">
        <v>426</v>
      </c>
      <c r="U486" s="3">
        <v>0</v>
      </c>
      <c r="V486" s="3">
        <v>66</v>
      </c>
      <c r="W486" s="3">
        <v>10</v>
      </c>
    </row>
    <row r="487" spans="1:2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44621</v>
      </c>
      <c r="J487" s="4">
        <v>0</v>
      </c>
      <c r="K487" s="4">
        <v>0</v>
      </c>
      <c r="L487" s="4">
        <v>388.375</v>
      </c>
      <c r="M487" s="4">
        <v>388.375</v>
      </c>
      <c r="N487" s="4">
        <v>388.375</v>
      </c>
      <c r="O487" s="4">
        <v>388.375</v>
      </c>
      <c r="P487" s="4">
        <v>562</v>
      </c>
      <c r="Q487" s="3" t="s">
        <v>26</v>
      </c>
      <c r="R487" s="3">
        <v>0</v>
      </c>
      <c r="S487" s="3" t="s">
        <v>266</v>
      </c>
      <c r="T487" s="3" t="s">
        <v>427</v>
      </c>
      <c r="U487" s="3">
        <v>0</v>
      </c>
      <c r="V487" s="3">
        <v>66</v>
      </c>
      <c r="W487" s="3">
        <v>10</v>
      </c>
    </row>
    <row r="488" spans="1:23" ht="11.25" customHeight="1" x14ac:dyDescent="0.25">
      <c r="A488" s="3" t="s">
        <v>27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44621</v>
      </c>
      <c r="J488" s="4">
        <v>0</v>
      </c>
      <c r="K488" s="4">
        <v>0</v>
      </c>
      <c r="L488" s="4">
        <v>-12.153</v>
      </c>
      <c r="M488" s="4">
        <v>-12.153</v>
      </c>
      <c r="N488" s="4">
        <v>-12.153</v>
      </c>
      <c r="O488" s="4">
        <v>-12.153</v>
      </c>
      <c r="P488" s="4">
        <v>0</v>
      </c>
      <c r="Q488" s="3" t="s">
        <v>26</v>
      </c>
      <c r="R488" s="3">
        <v>0</v>
      </c>
      <c r="S488" s="3" t="s">
        <v>266</v>
      </c>
      <c r="T488" s="3" t="s">
        <v>427</v>
      </c>
      <c r="U488" s="3">
        <v>0</v>
      </c>
      <c r="V488" s="3">
        <v>66</v>
      </c>
      <c r="W488" s="3">
        <v>10</v>
      </c>
    </row>
    <row r="489" spans="1:23" ht="11.25" customHeight="1" x14ac:dyDescent="0.25">
      <c r="A489" s="3" t="s">
        <v>28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44621</v>
      </c>
      <c r="J489" s="4">
        <v>0</v>
      </c>
      <c r="K489" s="4">
        <v>0</v>
      </c>
      <c r="L489" s="4">
        <v>3.2440000000000002</v>
      </c>
      <c r="M489" s="4">
        <v>3.2440000000000002</v>
      </c>
      <c r="N489" s="4">
        <v>3.2440000000000002</v>
      </c>
      <c r="O489" s="4">
        <v>3.2440000000000002</v>
      </c>
      <c r="P489" s="4">
        <v>9</v>
      </c>
      <c r="Q489" s="3" t="s">
        <v>26</v>
      </c>
      <c r="R489" s="3">
        <v>0</v>
      </c>
      <c r="S489" s="3" t="s">
        <v>266</v>
      </c>
      <c r="T489" s="3" t="s">
        <v>427</v>
      </c>
      <c r="U489" s="3">
        <v>0</v>
      </c>
      <c r="V489" s="3">
        <v>66</v>
      </c>
      <c r="W489" s="3">
        <v>10</v>
      </c>
    </row>
    <row r="490" spans="1:23" ht="11.25" customHeight="1" x14ac:dyDescent="0.25">
      <c r="A490" s="3" t="s">
        <v>21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44652</v>
      </c>
      <c r="J490" s="4">
        <v>0</v>
      </c>
      <c r="K490" s="4">
        <v>0</v>
      </c>
      <c r="L490" s="4">
        <v>372.767</v>
      </c>
      <c r="M490" s="4">
        <v>372.767</v>
      </c>
      <c r="N490" s="4">
        <v>372.767</v>
      </c>
      <c r="O490" s="4">
        <v>372.767</v>
      </c>
      <c r="P490" s="4">
        <v>566</v>
      </c>
      <c r="Q490" s="3" t="s">
        <v>26</v>
      </c>
      <c r="R490" s="3">
        <v>0</v>
      </c>
      <c r="S490" s="3" t="s">
        <v>267</v>
      </c>
      <c r="T490" s="3" t="s">
        <v>428</v>
      </c>
      <c r="U490" s="3">
        <v>0</v>
      </c>
      <c r="V490" s="3">
        <v>66</v>
      </c>
      <c r="W490" s="3">
        <v>10</v>
      </c>
    </row>
    <row r="491" spans="1:23" ht="11.25" customHeight="1" x14ac:dyDescent="0.25">
      <c r="A491" s="3" t="s">
        <v>27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44652</v>
      </c>
      <c r="J491" s="4">
        <v>0</v>
      </c>
      <c r="K491" s="4">
        <v>0</v>
      </c>
      <c r="L491" s="4">
        <v>-0.17499999999999999</v>
      </c>
      <c r="M491" s="4">
        <v>-0.17499999999999999</v>
      </c>
      <c r="N491" s="4">
        <v>-0.17499999999999999</v>
      </c>
      <c r="O491" s="4">
        <v>-0.17499999999999999</v>
      </c>
      <c r="P491" s="4">
        <v>0</v>
      </c>
      <c r="Q491" s="3" t="s">
        <v>26</v>
      </c>
      <c r="R491" s="3">
        <v>0</v>
      </c>
      <c r="S491" s="3" t="s">
        <v>267</v>
      </c>
      <c r="T491" s="3" t="s">
        <v>428</v>
      </c>
      <c r="U491" s="3">
        <v>0</v>
      </c>
      <c r="V491" s="3">
        <v>66</v>
      </c>
      <c r="W491" s="3">
        <v>10</v>
      </c>
    </row>
    <row r="492" spans="1:23" ht="11.25" customHeight="1" x14ac:dyDescent="0.25">
      <c r="A492" s="3" t="s">
        <v>28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4.6829999999999998</v>
      </c>
      <c r="M492" s="4">
        <v>4.6829999999999998</v>
      </c>
      <c r="N492" s="4">
        <v>4.6829999999999998</v>
      </c>
      <c r="O492" s="4">
        <v>4.6829999999999998</v>
      </c>
      <c r="P492" s="4">
        <v>9</v>
      </c>
      <c r="Q492" s="3" t="s">
        <v>26</v>
      </c>
      <c r="R492" s="3">
        <v>0</v>
      </c>
      <c r="S492" s="3" t="s">
        <v>267</v>
      </c>
      <c r="T492" s="3" t="s">
        <v>428</v>
      </c>
      <c r="U492" s="3">
        <v>0</v>
      </c>
      <c r="V492" s="3">
        <v>66</v>
      </c>
      <c r="W492" s="3">
        <v>10</v>
      </c>
    </row>
    <row r="493" spans="1:23" ht="11.25" customHeight="1" x14ac:dyDescent="0.25">
      <c r="A493" s="3" t="s">
        <v>21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346.29300000000001</v>
      </c>
      <c r="M493" s="4">
        <v>346.29300000000001</v>
      </c>
      <c r="N493" s="4">
        <v>346.29300000000001</v>
      </c>
      <c r="O493" s="4">
        <v>346.29300000000001</v>
      </c>
      <c r="P493" s="4">
        <v>567</v>
      </c>
      <c r="Q493" s="3" t="s">
        <v>26</v>
      </c>
      <c r="R493" s="3">
        <v>0</v>
      </c>
      <c r="S493" s="3" t="s">
        <v>268</v>
      </c>
      <c r="T493" s="3" t="s">
        <v>429</v>
      </c>
      <c r="U493" s="3">
        <v>0</v>
      </c>
      <c r="V493" s="3">
        <v>66</v>
      </c>
      <c r="W493" s="3">
        <v>10</v>
      </c>
    </row>
    <row r="494" spans="1:23" ht="11.25" customHeight="1" x14ac:dyDescent="0.25">
      <c r="A494" s="3" t="s">
        <v>28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44682</v>
      </c>
      <c r="J494" s="4">
        <v>0</v>
      </c>
      <c r="K494" s="4">
        <v>0</v>
      </c>
      <c r="L494" s="4">
        <v>4.0880000000000001</v>
      </c>
      <c r="M494" s="4">
        <v>4.0880000000000001</v>
      </c>
      <c r="N494" s="4">
        <v>4.0880000000000001</v>
      </c>
      <c r="O494" s="4">
        <v>4.0880000000000001</v>
      </c>
      <c r="P494" s="4">
        <v>9</v>
      </c>
      <c r="Q494" s="3" t="s">
        <v>26</v>
      </c>
      <c r="R494" s="3">
        <v>0</v>
      </c>
      <c r="S494" s="3" t="s">
        <v>268</v>
      </c>
      <c r="T494" s="3" t="s">
        <v>429</v>
      </c>
      <c r="U494" s="3">
        <v>0</v>
      </c>
      <c r="V494" s="3">
        <v>66</v>
      </c>
      <c r="W494" s="3">
        <v>10</v>
      </c>
    </row>
    <row r="495" spans="1:23" ht="11.25" customHeight="1" x14ac:dyDescent="0.25">
      <c r="A495" s="3" t="s">
        <v>21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44713</v>
      </c>
      <c r="J495" s="4">
        <v>0</v>
      </c>
      <c r="K495" s="4">
        <v>0</v>
      </c>
      <c r="L495" s="4">
        <v>344.166</v>
      </c>
      <c r="M495" s="4">
        <v>344.166</v>
      </c>
      <c r="N495" s="4">
        <v>344.166</v>
      </c>
      <c r="O495" s="4">
        <v>344.166</v>
      </c>
      <c r="P495" s="4">
        <v>571</v>
      </c>
      <c r="Q495" s="3" t="s">
        <v>26</v>
      </c>
      <c r="R495" s="3">
        <v>0</v>
      </c>
      <c r="S495" s="3" t="s">
        <v>269</v>
      </c>
      <c r="T495" s="3" t="s">
        <v>430</v>
      </c>
      <c r="U495" s="3">
        <v>0</v>
      </c>
      <c r="V495" s="3">
        <v>66</v>
      </c>
      <c r="W495" s="3">
        <v>10</v>
      </c>
    </row>
    <row r="496" spans="1:23" ht="11.25" customHeight="1" x14ac:dyDescent="0.25">
      <c r="A496" s="3" t="s">
        <v>28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44713</v>
      </c>
      <c r="J496" s="4">
        <v>0</v>
      </c>
      <c r="K496" s="4">
        <v>0</v>
      </c>
      <c r="L496" s="4">
        <v>11.874000000000001</v>
      </c>
      <c r="M496" s="4">
        <v>11.874000000000001</v>
      </c>
      <c r="N496" s="4">
        <v>11.874000000000001</v>
      </c>
      <c r="O496" s="4">
        <v>11.874000000000001</v>
      </c>
      <c r="P496" s="4">
        <v>11</v>
      </c>
      <c r="Q496" s="3" t="s">
        <v>26</v>
      </c>
      <c r="R496" s="3">
        <v>0</v>
      </c>
      <c r="S496" s="3" t="s">
        <v>269</v>
      </c>
      <c r="T496" s="3" t="s">
        <v>430</v>
      </c>
      <c r="U496" s="3">
        <v>0</v>
      </c>
      <c r="V496" s="3">
        <v>66</v>
      </c>
      <c r="W496" s="3">
        <v>10</v>
      </c>
    </row>
    <row r="497" spans="1:23" ht="11.25" customHeight="1" x14ac:dyDescent="0.25">
      <c r="A497" s="3" t="s">
        <v>21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44743</v>
      </c>
      <c r="J497" s="4">
        <v>0</v>
      </c>
      <c r="K497" s="4">
        <v>0</v>
      </c>
      <c r="L497" s="4">
        <v>353.32600000000002</v>
      </c>
      <c r="M497" s="4">
        <v>353.32600000000002</v>
      </c>
      <c r="N497" s="4">
        <v>353.32600000000002</v>
      </c>
      <c r="O497" s="4">
        <v>353.32600000000002</v>
      </c>
      <c r="P497" s="4">
        <v>575</v>
      </c>
      <c r="Q497" s="3" t="s">
        <v>26</v>
      </c>
      <c r="R497" s="3">
        <v>0</v>
      </c>
      <c r="S497" s="3" t="s">
        <v>270</v>
      </c>
      <c r="T497" s="3" t="s">
        <v>431</v>
      </c>
      <c r="U497" s="3">
        <v>0</v>
      </c>
      <c r="V497" s="3">
        <v>66</v>
      </c>
      <c r="W497" s="3">
        <v>10</v>
      </c>
    </row>
    <row r="498" spans="1:23" ht="11.25" customHeight="1" x14ac:dyDescent="0.25">
      <c r="A498" s="3" t="s">
        <v>28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44743</v>
      </c>
      <c r="J498" s="4">
        <v>0</v>
      </c>
      <c r="K498" s="4">
        <v>0</v>
      </c>
      <c r="L498" s="4">
        <v>15.151</v>
      </c>
      <c r="M498" s="4">
        <v>15.151</v>
      </c>
      <c r="N498" s="4">
        <v>15.151</v>
      </c>
      <c r="O498" s="4">
        <v>15.151</v>
      </c>
      <c r="P498" s="4">
        <v>11</v>
      </c>
      <c r="Q498" s="3" t="s">
        <v>26</v>
      </c>
      <c r="R498" s="3">
        <v>0</v>
      </c>
      <c r="S498" s="3" t="s">
        <v>270</v>
      </c>
      <c r="T498" s="3" t="s">
        <v>431</v>
      </c>
      <c r="U498" s="3">
        <v>0</v>
      </c>
      <c r="V498" s="3">
        <v>66</v>
      </c>
      <c r="W498" s="3">
        <v>10</v>
      </c>
    </row>
    <row r="499" spans="1:23" ht="11.25" customHeight="1" x14ac:dyDescent="0.25">
      <c r="A499" s="3" t="s">
        <v>55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44774</v>
      </c>
      <c r="J499" s="4">
        <v>0</v>
      </c>
      <c r="K499" s="4">
        <v>0</v>
      </c>
      <c r="L499" s="4">
        <v>353.32600000000002</v>
      </c>
      <c r="M499" s="4">
        <v>353.32600000000002</v>
      </c>
      <c r="N499" s="4">
        <v>353.32600000000002</v>
      </c>
      <c r="O499" s="4">
        <v>353.32600000000002</v>
      </c>
      <c r="P499" s="4">
        <v>575</v>
      </c>
      <c r="Q499" s="3" t="s">
        <v>26</v>
      </c>
      <c r="R499" s="3">
        <v>0</v>
      </c>
      <c r="S499" s="3" t="s">
        <v>271</v>
      </c>
      <c r="T499" s="3" t="s">
        <v>432</v>
      </c>
      <c r="U499" s="3">
        <v>0</v>
      </c>
      <c r="V499" s="3">
        <v>66</v>
      </c>
      <c r="W499" s="3">
        <v>10</v>
      </c>
    </row>
    <row r="500" spans="1:23" ht="11.25" customHeight="1" x14ac:dyDescent="0.25">
      <c r="A500" s="3" t="s">
        <v>55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44774</v>
      </c>
      <c r="J500" s="4">
        <v>0</v>
      </c>
      <c r="K500" s="4">
        <v>0</v>
      </c>
      <c r="L500" s="4">
        <v>15.151</v>
      </c>
      <c r="M500" s="4">
        <v>15.151</v>
      </c>
      <c r="N500" s="4">
        <v>15.151</v>
      </c>
      <c r="O500" s="4">
        <v>15.151</v>
      </c>
      <c r="P500" s="4">
        <v>11</v>
      </c>
      <c r="Q500" s="3" t="s">
        <v>26</v>
      </c>
      <c r="R500" s="3">
        <v>0</v>
      </c>
      <c r="S500" s="3" t="s">
        <v>271</v>
      </c>
      <c r="T500" s="3" t="s">
        <v>432</v>
      </c>
      <c r="U500" s="3">
        <v>0</v>
      </c>
      <c r="V500" s="3">
        <v>66</v>
      </c>
      <c r="W500" s="3">
        <v>10</v>
      </c>
    </row>
    <row r="501" spans="1:23" ht="11.25" customHeight="1" x14ac:dyDescent="0.25">
      <c r="A501" s="3" t="s">
        <v>21</v>
      </c>
      <c r="B501" s="3" t="s">
        <v>33</v>
      </c>
      <c r="C501" s="3" t="s">
        <v>23</v>
      </c>
      <c r="D501" s="3" t="s">
        <v>45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44440</v>
      </c>
      <c r="J501" s="4">
        <v>0</v>
      </c>
      <c r="K501" s="4">
        <v>0</v>
      </c>
      <c r="L501" s="4">
        <v>66.316999999999993</v>
      </c>
      <c r="M501" s="4">
        <v>66.316999999999993</v>
      </c>
      <c r="N501" s="4">
        <v>66.316999999999993</v>
      </c>
      <c r="O501" s="4">
        <v>66.316999999999993</v>
      </c>
      <c r="P501" s="4">
        <v>125</v>
      </c>
      <c r="Q501" s="3" t="s">
        <v>26</v>
      </c>
      <c r="R501" s="3">
        <v>0</v>
      </c>
      <c r="S501" s="3" t="s">
        <v>260</v>
      </c>
      <c r="T501" s="3" t="s">
        <v>421</v>
      </c>
      <c r="U501" s="3">
        <v>0</v>
      </c>
      <c r="V501" s="3">
        <v>66</v>
      </c>
      <c r="W501" s="3">
        <v>10</v>
      </c>
    </row>
    <row r="502" spans="1:23" ht="11.25" customHeight="1" x14ac:dyDescent="0.25">
      <c r="A502" s="3" t="s">
        <v>28</v>
      </c>
      <c r="B502" s="3" t="s">
        <v>33</v>
      </c>
      <c r="C502" s="3" t="s">
        <v>23</v>
      </c>
      <c r="D502" s="3" t="s">
        <v>45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44440</v>
      </c>
      <c r="J502" s="4">
        <v>0</v>
      </c>
      <c r="K502" s="4">
        <v>0</v>
      </c>
      <c r="L502" s="4">
        <v>1.5489999999999999</v>
      </c>
      <c r="M502" s="4">
        <v>1.5489999999999999</v>
      </c>
      <c r="N502" s="4">
        <v>1.5489999999999999</v>
      </c>
      <c r="O502" s="4">
        <v>1.5489999999999999</v>
      </c>
      <c r="P502" s="4">
        <v>2</v>
      </c>
      <c r="Q502" s="3" t="s">
        <v>26</v>
      </c>
      <c r="R502" s="3">
        <v>0</v>
      </c>
      <c r="S502" s="3" t="s">
        <v>260</v>
      </c>
      <c r="T502" s="3" t="s">
        <v>421</v>
      </c>
      <c r="U502" s="3">
        <v>0</v>
      </c>
      <c r="V502" s="3">
        <v>66</v>
      </c>
      <c r="W502" s="3">
        <v>10</v>
      </c>
    </row>
    <row r="503" spans="1:23" ht="11.25" customHeight="1" x14ac:dyDescent="0.25">
      <c r="A503" s="3" t="s">
        <v>21</v>
      </c>
      <c r="B503" s="3" t="s">
        <v>33</v>
      </c>
      <c r="C503" s="3" t="s">
        <v>23</v>
      </c>
      <c r="D503" s="3" t="s">
        <v>45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44470</v>
      </c>
      <c r="J503" s="4">
        <v>0</v>
      </c>
      <c r="K503" s="4">
        <v>0</v>
      </c>
      <c r="L503" s="4">
        <v>66.320999999999998</v>
      </c>
      <c r="M503" s="4">
        <v>66.320999999999998</v>
      </c>
      <c r="N503" s="4">
        <v>66.320999999999998</v>
      </c>
      <c r="O503" s="4">
        <v>66.320999999999998</v>
      </c>
      <c r="P503" s="4">
        <v>125</v>
      </c>
      <c r="Q503" s="3" t="s">
        <v>26</v>
      </c>
      <c r="R503" s="3">
        <v>0</v>
      </c>
      <c r="S503" s="3" t="s">
        <v>261</v>
      </c>
      <c r="T503" s="3" t="s">
        <v>422</v>
      </c>
      <c r="U503" s="3">
        <v>0</v>
      </c>
      <c r="V503" s="3">
        <v>66</v>
      </c>
      <c r="W503" s="3">
        <v>10</v>
      </c>
    </row>
    <row r="504" spans="1:23" ht="11.25" customHeight="1" x14ac:dyDescent="0.25">
      <c r="A504" s="3" t="s">
        <v>28</v>
      </c>
      <c r="B504" s="3" t="s">
        <v>33</v>
      </c>
      <c r="C504" s="3" t="s">
        <v>23</v>
      </c>
      <c r="D504" s="3" t="s">
        <v>45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44470</v>
      </c>
      <c r="J504" s="4">
        <v>0</v>
      </c>
      <c r="K504" s="4">
        <v>0</v>
      </c>
      <c r="L504" s="4">
        <v>1.5960000000000001</v>
      </c>
      <c r="M504" s="4">
        <v>1.5960000000000001</v>
      </c>
      <c r="N504" s="4">
        <v>1.5960000000000001</v>
      </c>
      <c r="O504" s="4">
        <v>1.5960000000000001</v>
      </c>
      <c r="P504" s="4">
        <v>2</v>
      </c>
      <c r="Q504" s="3" t="s">
        <v>26</v>
      </c>
      <c r="R504" s="3">
        <v>0</v>
      </c>
      <c r="S504" s="3" t="s">
        <v>261</v>
      </c>
      <c r="T504" s="3" t="s">
        <v>422</v>
      </c>
      <c r="U504" s="3">
        <v>0</v>
      </c>
      <c r="V504" s="3">
        <v>66</v>
      </c>
      <c r="W504" s="3">
        <v>10</v>
      </c>
    </row>
    <row r="505" spans="1:23" ht="11.25" customHeight="1" x14ac:dyDescent="0.25">
      <c r="A505" s="3" t="s">
        <v>21</v>
      </c>
      <c r="B505" s="3" t="s">
        <v>33</v>
      </c>
      <c r="C505" s="3" t="s">
        <v>23</v>
      </c>
      <c r="D505" s="3" t="s">
        <v>45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44501</v>
      </c>
      <c r="J505" s="4">
        <v>0</v>
      </c>
      <c r="K505" s="4">
        <v>0</v>
      </c>
      <c r="L505" s="4">
        <v>77.125</v>
      </c>
      <c r="M505" s="4">
        <v>77.125</v>
      </c>
      <c r="N505" s="4">
        <v>77.125</v>
      </c>
      <c r="O505" s="4">
        <v>77.125</v>
      </c>
      <c r="P505" s="4">
        <v>125</v>
      </c>
      <c r="Q505" s="3" t="s">
        <v>26</v>
      </c>
      <c r="R505" s="3">
        <v>0</v>
      </c>
      <c r="S505" s="3" t="s">
        <v>262</v>
      </c>
      <c r="T505" s="3" t="s">
        <v>423</v>
      </c>
      <c r="U505" s="3">
        <v>0</v>
      </c>
      <c r="V505" s="3">
        <v>66</v>
      </c>
      <c r="W505" s="3">
        <v>10</v>
      </c>
    </row>
    <row r="506" spans="1:23" ht="11.25" customHeight="1" x14ac:dyDescent="0.25">
      <c r="A506" s="3" t="s">
        <v>28</v>
      </c>
      <c r="B506" s="3" t="s">
        <v>33</v>
      </c>
      <c r="C506" s="3" t="s">
        <v>23</v>
      </c>
      <c r="D506" s="3" t="s">
        <v>45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44501</v>
      </c>
      <c r="J506" s="4">
        <v>0</v>
      </c>
      <c r="K506" s="4">
        <v>0</v>
      </c>
      <c r="L506" s="4">
        <v>1.577</v>
      </c>
      <c r="M506" s="4">
        <v>1.577</v>
      </c>
      <c r="N506" s="4">
        <v>1.577</v>
      </c>
      <c r="O506" s="4">
        <v>1.577</v>
      </c>
      <c r="P506" s="4">
        <v>2</v>
      </c>
      <c r="Q506" s="3" t="s">
        <v>26</v>
      </c>
      <c r="R506" s="3">
        <v>0</v>
      </c>
      <c r="S506" s="3" t="s">
        <v>262</v>
      </c>
      <c r="T506" s="3" t="s">
        <v>423</v>
      </c>
      <c r="U506" s="3">
        <v>0</v>
      </c>
      <c r="V506" s="3">
        <v>66</v>
      </c>
      <c r="W506" s="3">
        <v>10</v>
      </c>
    </row>
    <row r="507" spans="1:23" ht="11.25" customHeight="1" x14ac:dyDescent="0.25">
      <c r="A507" s="3" t="s">
        <v>21</v>
      </c>
      <c r="B507" s="3" t="s">
        <v>33</v>
      </c>
      <c r="C507" s="3" t="s">
        <v>23</v>
      </c>
      <c r="D507" s="3" t="s">
        <v>45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44531</v>
      </c>
      <c r="J507" s="4">
        <v>0</v>
      </c>
      <c r="K507" s="4">
        <v>0</v>
      </c>
      <c r="L507" s="4">
        <v>82.063000000000002</v>
      </c>
      <c r="M507" s="4">
        <v>82.063000000000002</v>
      </c>
      <c r="N507" s="4">
        <v>82.063000000000002</v>
      </c>
      <c r="O507" s="4">
        <v>82.063000000000002</v>
      </c>
      <c r="P507" s="4">
        <v>126</v>
      </c>
      <c r="Q507" s="3" t="s">
        <v>26</v>
      </c>
      <c r="R507" s="3">
        <v>0</v>
      </c>
      <c r="S507" s="3" t="s">
        <v>263</v>
      </c>
      <c r="T507" s="3" t="s">
        <v>424</v>
      </c>
      <c r="U507" s="3">
        <v>0</v>
      </c>
      <c r="V507" s="3">
        <v>66</v>
      </c>
      <c r="W507" s="3">
        <v>10</v>
      </c>
    </row>
    <row r="508" spans="1:23" ht="11.25" customHeight="1" x14ac:dyDescent="0.25">
      <c r="A508" s="3" t="s">
        <v>28</v>
      </c>
      <c r="B508" s="3" t="s">
        <v>33</v>
      </c>
      <c r="C508" s="3" t="s">
        <v>23</v>
      </c>
      <c r="D508" s="3" t="s">
        <v>45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44531</v>
      </c>
      <c r="J508" s="4">
        <v>0</v>
      </c>
      <c r="K508" s="4">
        <v>0</v>
      </c>
      <c r="L508" s="4">
        <v>1.9530000000000001</v>
      </c>
      <c r="M508" s="4">
        <v>1.9530000000000001</v>
      </c>
      <c r="N508" s="4">
        <v>1.9530000000000001</v>
      </c>
      <c r="O508" s="4">
        <v>1.9530000000000001</v>
      </c>
      <c r="P508" s="4">
        <v>2</v>
      </c>
      <c r="Q508" s="3" t="s">
        <v>26</v>
      </c>
      <c r="R508" s="3">
        <v>0</v>
      </c>
      <c r="S508" s="3" t="s">
        <v>263</v>
      </c>
      <c r="T508" s="3" t="s">
        <v>424</v>
      </c>
      <c r="U508" s="3">
        <v>0</v>
      </c>
      <c r="V508" s="3">
        <v>66</v>
      </c>
      <c r="W508" s="3">
        <v>10</v>
      </c>
    </row>
    <row r="509" spans="1:23" ht="11.25" customHeight="1" x14ac:dyDescent="0.25">
      <c r="A509" s="3" t="s">
        <v>21</v>
      </c>
      <c r="B509" s="3" t="s">
        <v>33</v>
      </c>
      <c r="C509" s="3" t="s">
        <v>23</v>
      </c>
      <c r="D509" s="3" t="s">
        <v>45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44562</v>
      </c>
      <c r="J509" s="4">
        <v>0</v>
      </c>
      <c r="K509" s="4">
        <v>0</v>
      </c>
      <c r="L509" s="4">
        <v>72.534000000000006</v>
      </c>
      <c r="M509" s="4">
        <v>72.534000000000006</v>
      </c>
      <c r="N509" s="4">
        <v>72.534000000000006</v>
      </c>
      <c r="O509" s="4">
        <v>72.534000000000006</v>
      </c>
      <c r="P509" s="4">
        <v>125</v>
      </c>
      <c r="Q509" s="3" t="s">
        <v>26</v>
      </c>
      <c r="R509" s="3">
        <v>0</v>
      </c>
      <c r="S509" s="3" t="s">
        <v>264</v>
      </c>
      <c r="T509" s="3" t="s">
        <v>425</v>
      </c>
      <c r="U509" s="3">
        <v>0</v>
      </c>
      <c r="V509" s="3">
        <v>66</v>
      </c>
      <c r="W509" s="3">
        <v>10</v>
      </c>
    </row>
    <row r="510" spans="1:23" ht="11.25" customHeight="1" x14ac:dyDescent="0.25">
      <c r="A510" s="3" t="s">
        <v>28</v>
      </c>
      <c r="B510" s="3" t="s">
        <v>33</v>
      </c>
      <c r="C510" s="3" t="s">
        <v>23</v>
      </c>
      <c r="D510" s="3" t="s">
        <v>45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44562</v>
      </c>
      <c r="J510" s="4">
        <v>0</v>
      </c>
      <c r="K510" s="4">
        <v>0</v>
      </c>
      <c r="L510" s="4">
        <v>0.2</v>
      </c>
      <c r="M510" s="4">
        <v>0.2</v>
      </c>
      <c r="N510" s="4">
        <v>0.2</v>
      </c>
      <c r="O510" s="4">
        <v>0.2</v>
      </c>
      <c r="P510" s="4">
        <v>2</v>
      </c>
      <c r="Q510" s="3" t="s">
        <v>26</v>
      </c>
      <c r="R510" s="3">
        <v>0</v>
      </c>
      <c r="S510" s="3" t="s">
        <v>264</v>
      </c>
      <c r="T510" s="3" t="s">
        <v>425</v>
      </c>
      <c r="U510" s="3">
        <v>0</v>
      </c>
      <c r="V510" s="3">
        <v>66</v>
      </c>
      <c r="W510" s="3">
        <v>10</v>
      </c>
    </row>
    <row r="511" spans="1:23" ht="11.25" customHeight="1" x14ac:dyDescent="0.25">
      <c r="A511" s="3" t="s">
        <v>21</v>
      </c>
      <c r="B511" s="3" t="s">
        <v>33</v>
      </c>
      <c r="C511" s="3" t="s">
        <v>23</v>
      </c>
      <c r="D511" s="3" t="s">
        <v>45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44593</v>
      </c>
      <c r="J511" s="4">
        <v>0</v>
      </c>
      <c r="K511" s="4">
        <v>0</v>
      </c>
      <c r="L511" s="4">
        <v>99.385999999999996</v>
      </c>
      <c r="M511" s="4">
        <v>99.385999999999996</v>
      </c>
      <c r="N511" s="4">
        <v>99.385999999999996</v>
      </c>
      <c r="O511" s="4">
        <v>99.385999999999996</v>
      </c>
      <c r="P511" s="4">
        <v>124</v>
      </c>
      <c r="Q511" s="3" t="s">
        <v>26</v>
      </c>
      <c r="R511" s="3">
        <v>0</v>
      </c>
      <c r="S511" s="3" t="s">
        <v>265</v>
      </c>
      <c r="T511" s="3" t="s">
        <v>426</v>
      </c>
      <c r="U511" s="3">
        <v>0</v>
      </c>
      <c r="V511" s="3">
        <v>66</v>
      </c>
      <c r="W511" s="3">
        <v>10</v>
      </c>
    </row>
    <row r="512" spans="1:23" ht="11.25" customHeight="1" x14ac:dyDescent="0.25">
      <c r="A512" s="3" t="s">
        <v>28</v>
      </c>
      <c r="B512" s="3" t="s">
        <v>33</v>
      </c>
      <c r="C512" s="3" t="s">
        <v>23</v>
      </c>
      <c r="D512" s="3" t="s">
        <v>45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44593</v>
      </c>
      <c r="J512" s="4">
        <v>0</v>
      </c>
      <c r="K512" s="4">
        <v>0</v>
      </c>
      <c r="L512" s="4">
        <v>0.749</v>
      </c>
      <c r="M512" s="4">
        <v>0.749</v>
      </c>
      <c r="N512" s="4">
        <v>0.749</v>
      </c>
      <c r="O512" s="4">
        <v>0.749</v>
      </c>
      <c r="P512" s="4">
        <v>2</v>
      </c>
      <c r="Q512" s="3" t="s">
        <v>26</v>
      </c>
      <c r="R512" s="3">
        <v>0</v>
      </c>
      <c r="S512" s="3" t="s">
        <v>265</v>
      </c>
      <c r="T512" s="3" t="s">
        <v>426</v>
      </c>
      <c r="U512" s="3">
        <v>0</v>
      </c>
      <c r="V512" s="3">
        <v>66</v>
      </c>
      <c r="W512" s="3">
        <v>10</v>
      </c>
    </row>
    <row r="513" spans="1:23" ht="11.25" customHeight="1" x14ac:dyDescent="0.25">
      <c r="A513" s="3" t="s">
        <v>21</v>
      </c>
      <c r="B513" s="3" t="s">
        <v>33</v>
      </c>
      <c r="C513" s="3" t="s">
        <v>23</v>
      </c>
      <c r="D513" s="3" t="s">
        <v>45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44621</v>
      </c>
      <c r="J513" s="4">
        <v>0</v>
      </c>
      <c r="K513" s="4">
        <v>0</v>
      </c>
      <c r="L513" s="4">
        <v>115.595</v>
      </c>
      <c r="M513" s="4">
        <v>115.595</v>
      </c>
      <c r="N513" s="4">
        <v>115.595</v>
      </c>
      <c r="O513" s="4">
        <v>115.595</v>
      </c>
      <c r="P513" s="4">
        <v>125</v>
      </c>
      <c r="Q513" s="3" t="s">
        <v>26</v>
      </c>
      <c r="R513" s="3">
        <v>0</v>
      </c>
      <c r="S513" s="3" t="s">
        <v>266</v>
      </c>
      <c r="T513" s="3" t="s">
        <v>427</v>
      </c>
      <c r="U513" s="3">
        <v>0</v>
      </c>
      <c r="V513" s="3">
        <v>66</v>
      </c>
      <c r="W513" s="3">
        <v>10</v>
      </c>
    </row>
    <row r="514" spans="1:23" ht="11.25" customHeight="1" x14ac:dyDescent="0.25">
      <c r="A514" s="3" t="s">
        <v>28</v>
      </c>
      <c r="B514" s="3" t="s">
        <v>33</v>
      </c>
      <c r="C514" s="3" t="s">
        <v>23</v>
      </c>
      <c r="D514" s="3" t="s">
        <v>45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44621</v>
      </c>
      <c r="J514" s="4">
        <v>0</v>
      </c>
      <c r="K514" s="4">
        <v>0</v>
      </c>
      <c r="L514" s="4">
        <v>3.359</v>
      </c>
      <c r="M514" s="4">
        <v>3.359</v>
      </c>
      <c r="N514" s="4">
        <v>3.359</v>
      </c>
      <c r="O514" s="4">
        <v>3.359</v>
      </c>
      <c r="P514" s="4">
        <v>2</v>
      </c>
      <c r="Q514" s="3" t="s">
        <v>26</v>
      </c>
      <c r="R514" s="3">
        <v>0</v>
      </c>
      <c r="S514" s="3" t="s">
        <v>266</v>
      </c>
      <c r="T514" s="3" t="s">
        <v>427</v>
      </c>
      <c r="U514" s="3">
        <v>0</v>
      </c>
      <c r="V514" s="3">
        <v>66</v>
      </c>
      <c r="W514" s="3">
        <v>10</v>
      </c>
    </row>
    <row r="515" spans="1:23" ht="11.25" customHeight="1" x14ac:dyDescent="0.25">
      <c r="A515" s="3" t="s">
        <v>21</v>
      </c>
      <c r="B515" s="3" t="s">
        <v>33</v>
      </c>
      <c r="C515" s="3" t="s">
        <v>23</v>
      </c>
      <c r="D515" s="3" t="s">
        <v>45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44652</v>
      </c>
      <c r="J515" s="4">
        <v>0</v>
      </c>
      <c r="K515" s="4">
        <v>0</v>
      </c>
      <c r="L515" s="4">
        <v>81.400000000000006</v>
      </c>
      <c r="M515" s="4">
        <v>81.400000000000006</v>
      </c>
      <c r="N515" s="4">
        <v>81.400000000000006</v>
      </c>
      <c r="O515" s="4">
        <v>81.400000000000006</v>
      </c>
      <c r="P515" s="4">
        <v>128</v>
      </c>
      <c r="Q515" s="3" t="s">
        <v>26</v>
      </c>
      <c r="R515" s="3">
        <v>0</v>
      </c>
      <c r="S515" s="3" t="s">
        <v>267</v>
      </c>
      <c r="T515" s="3" t="s">
        <v>428</v>
      </c>
      <c r="U515" s="3">
        <v>0</v>
      </c>
      <c r="V515" s="3">
        <v>66</v>
      </c>
      <c r="W515" s="3">
        <v>10</v>
      </c>
    </row>
    <row r="516" spans="1:23" ht="11.25" customHeight="1" x14ac:dyDescent="0.25">
      <c r="A516" s="3" t="s">
        <v>28</v>
      </c>
      <c r="B516" s="3" t="s">
        <v>33</v>
      </c>
      <c r="C516" s="3" t="s">
        <v>23</v>
      </c>
      <c r="D516" s="3" t="s">
        <v>45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44652</v>
      </c>
      <c r="J516" s="4">
        <v>0</v>
      </c>
      <c r="K516" s="4">
        <v>0</v>
      </c>
      <c r="L516" s="4">
        <v>2.669</v>
      </c>
      <c r="M516" s="4">
        <v>2.669</v>
      </c>
      <c r="N516" s="4">
        <v>2.669</v>
      </c>
      <c r="O516" s="4">
        <v>2.669</v>
      </c>
      <c r="P516" s="4">
        <v>2</v>
      </c>
      <c r="Q516" s="3" t="s">
        <v>26</v>
      </c>
      <c r="R516" s="3">
        <v>0</v>
      </c>
      <c r="S516" s="3" t="s">
        <v>267</v>
      </c>
      <c r="T516" s="3" t="s">
        <v>428</v>
      </c>
      <c r="U516" s="3">
        <v>0</v>
      </c>
      <c r="V516" s="3">
        <v>66</v>
      </c>
      <c r="W516" s="3">
        <v>10</v>
      </c>
    </row>
    <row r="517" spans="1:23" ht="11.25" customHeight="1" x14ac:dyDescent="0.25">
      <c r="A517" s="3" t="s">
        <v>21</v>
      </c>
      <c r="B517" s="3" t="s">
        <v>33</v>
      </c>
      <c r="C517" s="3" t="s">
        <v>23</v>
      </c>
      <c r="D517" s="3" t="s">
        <v>45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44682</v>
      </c>
      <c r="J517" s="4">
        <v>0</v>
      </c>
      <c r="K517" s="4">
        <v>0</v>
      </c>
      <c r="L517" s="4">
        <v>69.819000000000003</v>
      </c>
      <c r="M517" s="4">
        <v>69.819000000000003</v>
      </c>
      <c r="N517" s="4">
        <v>69.819000000000003</v>
      </c>
      <c r="O517" s="4">
        <v>69.819000000000003</v>
      </c>
      <c r="P517" s="4">
        <v>128</v>
      </c>
      <c r="Q517" s="3" t="s">
        <v>26</v>
      </c>
      <c r="R517" s="3">
        <v>0</v>
      </c>
      <c r="S517" s="3" t="s">
        <v>268</v>
      </c>
      <c r="T517" s="3" t="s">
        <v>429</v>
      </c>
      <c r="U517" s="3">
        <v>0</v>
      </c>
      <c r="V517" s="3">
        <v>66</v>
      </c>
      <c r="W517" s="3">
        <v>10</v>
      </c>
    </row>
    <row r="518" spans="1:23" ht="11.25" customHeight="1" x14ac:dyDescent="0.25">
      <c r="A518" s="3" t="s">
        <v>28</v>
      </c>
      <c r="B518" s="3" t="s">
        <v>33</v>
      </c>
      <c r="C518" s="3" t="s">
        <v>23</v>
      </c>
      <c r="D518" s="3" t="s">
        <v>45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44682</v>
      </c>
      <c r="J518" s="4">
        <v>0</v>
      </c>
      <c r="K518" s="4">
        <v>0</v>
      </c>
      <c r="L518" s="4">
        <v>1.79</v>
      </c>
      <c r="M518" s="4">
        <v>1.79</v>
      </c>
      <c r="N518" s="4">
        <v>1.79</v>
      </c>
      <c r="O518" s="4">
        <v>1.79</v>
      </c>
      <c r="P518" s="4">
        <v>2</v>
      </c>
      <c r="Q518" s="3" t="s">
        <v>26</v>
      </c>
      <c r="R518" s="3">
        <v>0</v>
      </c>
      <c r="S518" s="3" t="s">
        <v>268</v>
      </c>
      <c r="T518" s="3" t="s">
        <v>429</v>
      </c>
      <c r="U518" s="3">
        <v>0</v>
      </c>
      <c r="V518" s="3">
        <v>66</v>
      </c>
      <c r="W518" s="3">
        <v>10</v>
      </c>
    </row>
    <row r="519" spans="1:23" ht="11.25" customHeight="1" x14ac:dyDescent="0.25">
      <c r="A519" s="3" t="s">
        <v>21</v>
      </c>
      <c r="B519" s="3" t="s">
        <v>33</v>
      </c>
      <c r="C519" s="3" t="s">
        <v>23</v>
      </c>
      <c r="D519" s="3" t="s">
        <v>45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44713</v>
      </c>
      <c r="J519" s="4">
        <v>0</v>
      </c>
      <c r="K519" s="4">
        <v>0</v>
      </c>
      <c r="L519" s="4">
        <v>71.867999999999995</v>
      </c>
      <c r="M519" s="4">
        <v>71.867999999999995</v>
      </c>
      <c r="N519" s="4">
        <v>71.867999999999995</v>
      </c>
      <c r="O519" s="4">
        <v>71.867999999999995</v>
      </c>
      <c r="P519" s="4">
        <v>128</v>
      </c>
      <c r="Q519" s="3" t="s">
        <v>26</v>
      </c>
      <c r="R519" s="3">
        <v>0</v>
      </c>
      <c r="S519" s="3" t="s">
        <v>269</v>
      </c>
      <c r="T519" s="3" t="s">
        <v>430</v>
      </c>
      <c r="U519" s="3">
        <v>0</v>
      </c>
      <c r="V519" s="3">
        <v>66</v>
      </c>
      <c r="W519" s="3">
        <v>10</v>
      </c>
    </row>
    <row r="520" spans="1:23" ht="11.25" customHeight="1" x14ac:dyDescent="0.25">
      <c r="A520" s="3" t="s">
        <v>28</v>
      </c>
      <c r="B520" s="3" t="s">
        <v>33</v>
      </c>
      <c r="C520" s="3" t="s">
        <v>23</v>
      </c>
      <c r="D520" s="3" t="s">
        <v>45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44713</v>
      </c>
      <c r="J520" s="4">
        <v>0</v>
      </c>
      <c r="K520" s="4">
        <v>0</v>
      </c>
      <c r="L520" s="4">
        <v>0.66300000000000003</v>
      </c>
      <c r="M520" s="4">
        <v>0.66300000000000003</v>
      </c>
      <c r="N520" s="4">
        <v>0.66300000000000003</v>
      </c>
      <c r="O520" s="4">
        <v>0.66300000000000003</v>
      </c>
      <c r="P520" s="4">
        <v>2</v>
      </c>
      <c r="Q520" s="3" t="s">
        <v>26</v>
      </c>
      <c r="R520" s="3">
        <v>0</v>
      </c>
      <c r="S520" s="3" t="s">
        <v>269</v>
      </c>
      <c r="T520" s="3" t="s">
        <v>430</v>
      </c>
      <c r="U520" s="3">
        <v>0</v>
      </c>
      <c r="V520" s="3">
        <v>66</v>
      </c>
      <c r="W520" s="3">
        <v>10</v>
      </c>
    </row>
    <row r="521" spans="1:23" ht="11.25" customHeight="1" x14ac:dyDescent="0.25">
      <c r="A521" s="3" t="s">
        <v>21</v>
      </c>
      <c r="B521" s="3" t="s">
        <v>33</v>
      </c>
      <c r="C521" s="3" t="s">
        <v>23</v>
      </c>
      <c r="D521" s="3" t="s">
        <v>45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44743</v>
      </c>
      <c r="J521" s="4">
        <v>0</v>
      </c>
      <c r="K521" s="4">
        <v>0</v>
      </c>
      <c r="L521" s="4">
        <v>65.524000000000001</v>
      </c>
      <c r="M521" s="4">
        <v>65.524000000000001</v>
      </c>
      <c r="N521" s="4">
        <v>65.524000000000001</v>
      </c>
      <c r="O521" s="4">
        <v>65.524000000000001</v>
      </c>
      <c r="P521" s="4">
        <v>128</v>
      </c>
      <c r="Q521" s="3" t="s">
        <v>26</v>
      </c>
      <c r="R521" s="3">
        <v>0</v>
      </c>
      <c r="S521" s="3" t="s">
        <v>270</v>
      </c>
      <c r="T521" s="3" t="s">
        <v>431</v>
      </c>
      <c r="U521" s="3">
        <v>0</v>
      </c>
      <c r="V521" s="3">
        <v>66</v>
      </c>
      <c r="W521" s="3">
        <v>10</v>
      </c>
    </row>
    <row r="522" spans="1:23" ht="11.25" customHeight="1" x14ac:dyDescent="0.25">
      <c r="A522" s="3" t="s">
        <v>28</v>
      </c>
      <c r="B522" s="3" t="s">
        <v>33</v>
      </c>
      <c r="C522" s="3" t="s">
        <v>23</v>
      </c>
      <c r="D522" s="3" t="s">
        <v>45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44743</v>
      </c>
      <c r="J522" s="4">
        <v>0</v>
      </c>
      <c r="K522" s="4">
        <v>0</v>
      </c>
      <c r="L522" s="4">
        <v>0.48799999999999999</v>
      </c>
      <c r="M522" s="4">
        <v>0.48799999999999999</v>
      </c>
      <c r="N522" s="4">
        <v>0.48799999999999999</v>
      </c>
      <c r="O522" s="4">
        <v>0.48799999999999999</v>
      </c>
      <c r="P522" s="4">
        <v>2</v>
      </c>
      <c r="Q522" s="3" t="s">
        <v>26</v>
      </c>
      <c r="R522" s="3">
        <v>0</v>
      </c>
      <c r="S522" s="3" t="s">
        <v>270</v>
      </c>
      <c r="T522" s="3" t="s">
        <v>431</v>
      </c>
      <c r="U522" s="3">
        <v>0</v>
      </c>
      <c r="V522" s="3">
        <v>66</v>
      </c>
      <c r="W522" s="3">
        <v>10</v>
      </c>
    </row>
    <row r="523" spans="1:23" ht="11.25" customHeight="1" x14ac:dyDescent="0.25">
      <c r="A523" s="3" t="s">
        <v>55</v>
      </c>
      <c r="B523" s="3" t="s">
        <v>33</v>
      </c>
      <c r="C523" s="3" t="s">
        <v>23</v>
      </c>
      <c r="D523" s="3" t="s">
        <v>45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44774</v>
      </c>
      <c r="J523" s="4">
        <v>0</v>
      </c>
      <c r="K523" s="4">
        <v>0</v>
      </c>
      <c r="L523" s="4">
        <v>65.524000000000001</v>
      </c>
      <c r="M523" s="4">
        <v>65.524000000000001</v>
      </c>
      <c r="N523" s="4">
        <v>65.524000000000001</v>
      </c>
      <c r="O523" s="4">
        <v>65.524000000000001</v>
      </c>
      <c r="P523" s="4">
        <v>128</v>
      </c>
      <c r="Q523" s="3" t="s">
        <v>26</v>
      </c>
      <c r="R523" s="3">
        <v>0</v>
      </c>
      <c r="S523" s="3" t="s">
        <v>271</v>
      </c>
      <c r="T523" s="3" t="s">
        <v>432</v>
      </c>
      <c r="U523" s="3">
        <v>0</v>
      </c>
      <c r="V523" s="3">
        <v>66</v>
      </c>
      <c r="W523" s="3">
        <v>10</v>
      </c>
    </row>
    <row r="524" spans="1:23" ht="11.25" customHeight="1" x14ac:dyDescent="0.25">
      <c r="A524" s="3" t="s">
        <v>55</v>
      </c>
      <c r="B524" s="3" t="s">
        <v>33</v>
      </c>
      <c r="C524" s="3" t="s">
        <v>23</v>
      </c>
      <c r="D524" s="3" t="s">
        <v>45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44774</v>
      </c>
      <c r="J524" s="4">
        <v>0</v>
      </c>
      <c r="K524" s="4">
        <v>0</v>
      </c>
      <c r="L524" s="4">
        <v>0.48799999999999999</v>
      </c>
      <c r="M524" s="4">
        <v>0.48799999999999999</v>
      </c>
      <c r="N524" s="4">
        <v>0.48799999999999999</v>
      </c>
      <c r="O524" s="4">
        <v>0.48799999999999999</v>
      </c>
      <c r="P524" s="4">
        <v>2</v>
      </c>
      <c r="Q524" s="3" t="s">
        <v>26</v>
      </c>
      <c r="R524" s="3">
        <v>0</v>
      </c>
      <c r="S524" s="3" t="s">
        <v>271</v>
      </c>
      <c r="T524" s="3" t="s">
        <v>432</v>
      </c>
      <c r="U524" s="3">
        <v>0</v>
      </c>
      <c r="V524" s="3">
        <v>66</v>
      </c>
      <c r="W524" s="3">
        <v>10</v>
      </c>
    </row>
    <row r="525" spans="1:23" ht="11.25" customHeight="1" x14ac:dyDescent="0.25">
      <c r="A525" s="3" t="s">
        <v>21</v>
      </c>
      <c r="B525" s="3" t="s">
        <v>33</v>
      </c>
      <c r="C525" s="3" t="s">
        <v>23</v>
      </c>
      <c r="D525" s="3" t="s">
        <v>49</v>
      </c>
      <c r="E525" s="3" t="s">
        <v>50</v>
      </c>
      <c r="F525" s="3" t="s">
        <v>25</v>
      </c>
      <c r="G525" s="3" t="s">
        <v>25</v>
      </c>
      <c r="H525" s="3" t="s">
        <v>25</v>
      </c>
      <c r="I525" s="6">
        <v>44440</v>
      </c>
      <c r="J525" s="4">
        <v>0</v>
      </c>
      <c r="K525" s="4">
        <v>0</v>
      </c>
      <c r="L525" s="4">
        <v>17.172999999999998</v>
      </c>
      <c r="M525" s="4">
        <v>16.142619999999997</v>
      </c>
      <c r="N525" s="4">
        <v>17.172999999999998</v>
      </c>
      <c r="O525" s="4">
        <v>16.142619999999997</v>
      </c>
      <c r="P525" s="4">
        <v>33</v>
      </c>
      <c r="Q525" s="3" t="s">
        <v>26</v>
      </c>
      <c r="R525" s="3">
        <v>0</v>
      </c>
      <c r="S525" s="3" t="s">
        <v>260</v>
      </c>
      <c r="T525" s="3" t="s">
        <v>421</v>
      </c>
      <c r="U525" s="3">
        <v>0</v>
      </c>
      <c r="V525" s="3">
        <v>66</v>
      </c>
      <c r="W525" s="3">
        <v>10</v>
      </c>
    </row>
    <row r="526" spans="1:23" ht="11.25" customHeight="1" x14ac:dyDescent="0.25">
      <c r="A526" s="3" t="s">
        <v>21</v>
      </c>
      <c r="B526" s="3" t="s">
        <v>33</v>
      </c>
      <c r="C526" s="3" t="s">
        <v>23</v>
      </c>
      <c r="D526" s="3" t="s">
        <v>49</v>
      </c>
      <c r="E526" s="3" t="s">
        <v>50</v>
      </c>
      <c r="F526" s="3" t="s">
        <v>25</v>
      </c>
      <c r="G526" s="3" t="s">
        <v>25</v>
      </c>
      <c r="H526" s="3" t="s">
        <v>25</v>
      </c>
      <c r="I526" s="6">
        <v>44470</v>
      </c>
      <c r="J526" s="4">
        <v>0</v>
      </c>
      <c r="K526" s="4">
        <v>0</v>
      </c>
      <c r="L526" s="4">
        <v>16.812000000000001</v>
      </c>
      <c r="M526" s="4">
        <v>15.803280000000001</v>
      </c>
      <c r="N526" s="4">
        <v>16.812000000000001</v>
      </c>
      <c r="O526" s="4">
        <v>15.803280000000001</v>
      </c>
      <c r="P526" s="4">
        <v>33</v>
      </c>
      <c r="Q526" s="3" t="s">
        <v>26</v>
      </c>
      <c r="R526" s="3">
        <v>0</v>
      </c>
      <c r="S526" s="3" t="s">
        <v>261</v>
      </c>
      <c r="T526" s="3" t="s">
        <v>422</v>
      </c>
      <c r="U526" s="3">
        <v>0</v>
      </c>
      <c r="V526" s="3">
        <v>66</v>
      </c>
      <c r="W526" s="3">
        <v>10</v>
      </c>
    </row>
    <row r="527" spans="1:23" ht="11.25" customHeight="1" x14ac:dyDescent="0.25">
      <c r="A527" s="3" t="s">
        <v>21</v>
      </c>
      <c r="B527" s="3" t="s">
        <v>33</v>
      </c>
      <c r="C527" s="3" t="s">
        <v>23</v>
      </c>
      <c r="D527" s="3" t="s">
        <v>49</v>
      </c>
      <c r="E527" s="3" t="s">
        <v>50</v>
      </c>
      <c r="F527" s="3" t="s">
        <v>25</v>
      </c>
      <c r="G527" s="3" t="s">
        <v>25</v>
      </c>
      <c r="H527" s="3" t="s">
        <v>25</v>
      </c>
      <c r="I527" s="6">
        <v>44501</v>
      </c>
      <c r="J527" s="4">
        <v>0</v>
      </c>
      <c r="K527" s="4">
        <v>0</v>
      </c>
      <c r="L527" s="4">
        <v>18.056999999999999</v>
      </c>
      <c r="M527" s="4">
        <v>16.973579999999998</v>
      </c>
      <c r="N527" s="4">
        <v>18.056999999999999</v>
      </c>
      <c r="O527" s="4">
        <v>16.973579999999998</v>
      </c>
      <c r="P527" s="4">
        <v>33</v>
      </c>
      <c r="Q527" s="3" t="s">
        <v>26</v>
      </c>
      <c r="R527" s="3">
        <v>0</v>
      </c>
      <c r="S527" s="3" t="s">
        <v>262</v>
      </c>
      <c r="T527" s="3" t="s">
        <v>423</v>
      </c>
      <c r="U527" s="3">
        <v>0</v>
      </c>
      <c r="V527" s="3">
        <v>66</v>
      </c>
      <c r="W527" s="3">
        <v>10</v>
      </c>
    </row>
    <row r="528" spans="1:23" ht="11.25" customHeight="1" x14ac:dyDescent="0.25">
      <c r="A528" s="3" t="s">
        <v>21</v>
      </c>
      <c r="B528" s="3" t="s">
        <v>33</v>
      </c>
      <c r="C528" s="3" t="s">
        <v>23</v>
      </c>
      <c r="D528" s="3" t="s">
        <v>49</v>
      </c>
      <c r="E528" s="3" t="s">
        <v>50</v>
      </c>
      <c r="F528" s="3" t="s">
        <v>25</v>
      </c>
      <c r="G528" s="3" t="s">
        <v>25</v>
      </c>
      <c r="H528" s="3" t="s">
        <v>25</v>
      </c>
      <c r="I528" s="6">
        <v>44531</v>
      </c>
      <c r="J528" s="4">
        <v>0</v>
      </c>
      <c r="K528" s="4">
        <v>0</v>
      </c>
      <c r="L528" s="4">
        <v>18.302</v>
      </c>
      <c r="M528" s="4">
        <v>17.203880000000002</v>
      </c>
      <c r="N528" s="4">
        <v>18.302</v>
      </c>
      <c r="O528" s="4">
        <v>17.203880000000002</v>
      </c>
      <c r="P528" s="4">
        <v>35</v>
      </c>
      <c r="Q528" s="3" t="s">
        <v>26</v>
      </c>
      <c r="R528" s="3">
        <v>0</v>
      </c>
      <c r="S528" s="3" t="s">
        <v>263</v>
      </c>
      <c r="T528" s="3" t="s">
        <v>424</v>
      </c>
      <c r="U528" s="3">
        <v>0</v>
      </c>
      <c r="V528" s="3">
        <v>66</v>
      </c>
      <c r="W528" s="3">
        <v>10</v>
      </c>
    </row>
    <row r="529" spans="1:23" ht="11.25" customHeight="1" x14ac:dyDescent="0.25">
      <c r="A529" s="3" t="s">
        <v>21</v>
      </c>
      <c r="B529" s="3" t="s">
        <v>33</v>
      </c>
      <c r="C529" s="3" t="s">
        <v>23</v>
      </c>
      <c r="D529" s="3" t="s">
        <v>49</v>
      </c>
      <c r="E529" s="3" t="s">
        <v>50</v>
      </c>
      <c r="F529" s="3" t="s">
        <v>25</v>
      </c>
      <c r="G529" s="3" t="s">
        <v>25</v>
      </c>
      <c r="H529" s="3" t="s">
        <v>25</v>
      </c>
      <c r="I529" s="6">
        <v>44562</v>
      </c>
      <c r="J529" s="4">
        <v>0</v>
      </c>
      <c r="K529" s="4">
        <v>0</v>
      </c>
      <c r="L529" s="4">
        <v>21.271999999999998</v>
      </c>
      <c r="M529" s="4">
        <v>19.99568</v>
      </c>
      <c r="N529" s="4">
        <v>21.271999999999998</v>
      </c>
      <c r="O529" s="4">
        <v>19.99568</v>
      </c>
      <c r="P529" s="4">
        <v>35</v>
      </c>
      <c r="Q529" s="3" t="s">
        <v>26</v>
      </c>
      <c r="R529" s="3">
        <v>0</v>
      </c>
      <c r="S529" s="3" t="s">
        <v>264</v>
      </c>
      <c r="T529" s="3" t="s">
        <v>425</v>
      </c>
      <c r="U529" s="3">
        <v>0</v>
      </c>
      <c r="V529" s="3">
        <v>66</v>
      </c>
      <c r="W529" s="3">
        <v>10</v>
      </c>
    </row>
    <row r="530" spans="1:23" ht="11.25" customHeight="1" x14ac:dyDescent="0.25">
      <c r="A530" s="3" t="s">
        <v>21</v>
      </c>
      <c r="B530" s="3" t="s">
        <v>33</v>
      </c>
      <c r="C530" s="3" t="s">
        <v>23</v>
      </c>
      <c r="D530" s="3" t="s">
        <v>49</v>
      </c>
      <c r="E530" s="3" t="s">
        <v>50</v>
      </c>
      <c r="F530" s="3" t="s">
        <v>25</v>
      </c>
      <c r="G530" s="3" t="s">
        <v>25</v>
      </c>
      <c r="H530" s="3" t="s">
        <v>25</v>
      </c>
      <c r="I530" s="6">
        <v>44593</v>
      </c>
      <c r="J530" s="4">
        <v>0</v>
      </c>
      <c r="K530" s="4">
        <v>0</v>
      </c>
      <c r="L530" s="4">
        <v>24.638999999999999</v>
      </c>
      <c r="M530" s="4">
        <v>23.16066</v>
      </c>
      <c r="N530" s="4">
        <v>24.638999999999999</v>
      </c>
      <c r="O530" s="4">
        <v>23.16066</v>
      </c>
      <c r="P530" s="4">
        <v>35</v>
      </c>
      <c r="Q530" s="3" t="s">
        <v>26</v>
      </c>
      <c r="R530" s="3">
        <v>0</v>
      </c>
      <c r="S530" s="3" t="s">
        <v>265</v>
      </c>
      <c r="T530" s="3" t="s">
        <v>426</v>
      </c>
      <c r="U530" s="3">
        <v>0</v>
      </c>
      <c r="V530" s="3">
        <v>66</v>
      </c>
      <c r="W530" s="3">
        <v>10</v>
      </c>
    </row>
    <row r="531" spans="1:23" ht="11.25" customHeight="1" x14ac:dyDescent="0.25">
      <c r="A531" s="3" t="s">
        <v>21</v>
      </c>
      <c r="B531" s="3" t="s">
        <v>33</v>
      </c>
      <c r="C531" s="3" t="s">
        <v>23</v>
      </c>
      <c r="D531" s="3" t="s">
        <v>49</v>
      </c>
      <c r="E531" s="3" t="s">
        <v>50</v>
      </c>
      <c r="F531" s="3" t="s">
        <v>25</v>
      </c>
      <c r="G531" s="3" t="s">
        <v>25</v>
      </c>
      <c r="H531" s="3" t="s">
        <v>25</v>
      </c>
      <c r="I531" s="6">
        <v>44621</v>
      </c>
      <c r="J531" s="4">
        <v>0</v>
      </c>
      <c r="K531" s="4">
        <v>0</v>
      </c>
      <c r="L531" s="4">
        <v>22.068000000000001</v>
      </c>
      <c r="M531" s="4">
        <v>20.743919999999999</v>
      </c>
      <c r="N531" s="4">
        <v>22.068000000000001</v>
      </c>
      <c r="O531" s="4">
        <v>20.743919999999999</v>
      </c>
      <c r="P531" s="4">
        <v>35</v>
      </c>
      <c r="Q531" s="3" t="s">
        <v>26</v>
      </c>
      <c r="R531" s="3">
        <v>0</v>
      </c>
      <c r="S531" s="3" t="s">
        <v>266</v>
      </c>
      <c r="T531" s="3" t="s">
        <v>427</v>
      </c>
      <c r="U531" s="3">
        <v>0</v>
      </c>
      <c r="V531" s="3">
        <v>66</v>
      </c>
      <c r="W531" s="3">
        <v>10</v>
      </c>
    </row>
    <row r="532" spans="1:23" ht="11.25" customHeight="1" x14ac:dyDescent="0.25">
      <c r="A532" s="3" t="s">
        <v>21</v>
      </c>
      <c r="B532" s="3" t="s">
        <v>33</v>
      </c>
      <c r="C532" s="3" t="s">
        <v>23</v>
      </c>
      <c r="D532" s="3" t="s">
        <v>49</v>
      </c>
      <c r="E532" s="3" t="s">
        <v>50</v>
      </c>
      <c r="F532" s="3" t="s">
        <v>25</v>
      </c>
      <c r="G532" s="3" t="s">
        <v>25</v>
      </c>
      <c r="H532" s="3" t="s">
        <v>25</v>
      </c>
      <c r="I532" s="6">
        <v>44652</v>
      </c>
      <c r="J532" s="4">
        <v>0</v>
      </c>
      <c r="K532" s="4">
        <v>0</v>
      </c>
      <c r="L532" s="4">
        <v>20.841000000000001</v>
      </c>
      <c r="M532" s="4">
        <v>19.590540000000001</v>
      </c>
      <c r="N532" s="4">
        <v>20.841000000000001</v>
      </c>
      <c r="O532" s="4">
        <v>19.590540000000001</v>
      </c>
      <c r="P532" s="4">
        <v>35</v>
      </c>
      <c r="Q532" s="3" t="s">
        <v>26</v>
      </c>
      <c r="R532" s="3">
        <v>0</v>
      </c>
      <c r="S532" s="3" t="s">
        <v>267</v>
      </c>
      <c r="T532" s="3" t="s">
        <v>428</v>
      </c>
      <c r="U532" s="3">
        <v>0</v>
      </c>
      <c r="V532" s="3">
        <v>66</v>
      </c>
      <c r="W532" s="3">
        <v>10</v>
      </c>
    </row>
    <row r="533" spans="1:23" ht="11.25" customHeight="1" x14ac:dyDescent="0.25">
      <c r="A533" s="3" t="s">
        <v>21</v>
      </c>
      <c r="B533" s="3" t="s">
        <v>33</v>
      </c>
      <c r="C533" s="3" t="s">
        <v>23</v>
      </c>
      <c r="D533" s="3" t="s">
        <v>49</v>
      </c>
      <c r="E533" s="3" t="s">
        <v>50</v>
      </c>
      <c r="F533" s="3" t="s">
        <v>25</v>
      </c>
      <c r="G533" s="3" t="s">
        <v>25</v>
      </c>
      <c r="H533" s="3" t="s">
        <v>25</v>
      </c>
      <c r="I533" s="6">
        <v>44682</v>
      </c>
      <c r="J533" s="4">
        <v>0</v>
      </c>
      <c r="K533" s="4">
        <v>0</v>
      </c>
      <c r="L533" s="4">
        <v>19.794</v>
      </c>
      <c r="M533" s="4">
        <v>18.606359999999999</v>
      </c>
      <c r="N533" s="4">
        <v>19.794</v>
      </c>
      <c r="O533" s="4">
        <v>18.606359999999999</v>
      </c>
      <c r="P533" s="4">
        <v>35</v>
      </c>
      <c r="Q533" s="3" t="s">
        <v>26</v>
      </c>
      <c r="R533" s="3">
        <v>0</v>
      </c>
      <c r="S533" s="3" t="s">
        <v>268</v>
      </c>
      <c r="T533" s="3" t="s">
        <v>429</v>
      </c>
      <c r="U533" s="3">
        <v>0</v>
      </c>
      <c r="V533" s="3">
        <v>66</v>
      </c>
      <c r="W533" s="3">
        <v>10</v>
      </c>
    </row>
    <row r="534" spans="1:23" ht="11.25" customHeight="1" x14ac:dyDescent="0.25">
      <c r="A534" s="3" t="s">
        <v>21</v>
      </c>
      <c r="B534" s="3" t="s">
        <v>33</v>
      </c>
      <c r="C534" s="3" t="s">
        <v>23</v>
      </c>
      <c r="D534" s="3" t="s">
        <v>49</v>
      </c>
      <c r="E534" s="3" t="s">
        <v>50</v>
      </c>
      <c r="F534" s="3" t="s">
        <v>25</v>
      </c>
      <c r="G534" s="3" t="s">
        <v>25</v>
      </c>
      <c r="H534" s="3" t="s">
        <v>25</v>
      </c>
      <c r="I534" s="6">
        <v>44713</v>
      </c>
      <c r="J534" s="4">
        <v>0</v>
      </c>
      <c r="K534" s="4">
        <v>0</v>
      </c>
      <c r="L534" s="4">
        <v>21.469000000000001</v>
      </c>
      <c r="M534" s="4">
        <v>20.180859999999999</v>
      </c>
      <c r="N534" s="4">
        <v>21.469000000000001</v>
      </c>
      <c r="O534" s="4">
        <v>20.180859999999999</v>
      </c>
      <c r="P534" s="4">
        <v>35</v>
      </c>
      <c r="Q534" s="3" t="s">
        <v>26</v>
      </c>
      <c r="R534" s="3">
        <v>0</v>
      </c>
      <c r="S534" s="3" t="s">
        <v>269</v>
      </c>
      <c r="T534" s="3" t="s">
        <v>430</v>
      </c>
      <c r="U534" s="3">
        <v>0</v>
      </c>
      <c r="V534" s="3">
        <v>66</v>
      </c>
      <c r="W534" s="3">
        <v>10</v>
      </c>
    </row>
    <row r="535" spans="1:23" ht="11.25" customHeight="1" x14ac:dyDescent="0.25">
      <c r="A535" s="3" t="s">
        <v>21</v>
      </c>
      <c r="B535" s="3" t="s">
        <v>33</v>
      </c>
      <c r="C535" s="3" t="s">
        <v>23</v>
      </c>
      <c r="D535" s="3" t="s">
        <v>49</v>
      </c>
      <c r="E535" s="3" t="s">
        <v>50</v>
      </c>
      <c r="F535" s="3" t="s">
        <v>25</v>
      </c>
      <c r="G535" s="3" t="s">
        <v>25</v>
      </c>
      <c r="H535" s="3" t="s">
        <v>25</v>
      </c>
      <c r="I535" s="6">
        <v>44743</v>
      </c>
      <c r="J535" s="4">
        <v>0</v>
      </c>
      <c r="K535" s="4">
        <v>0</v>
      </c>
      <c r="L535" s="4">
        <v>20.888000000000002</v>
      </c>
      <c r="M535" s="4">
        <v>19.634720000000002</v>
      </c>
      <c r="N535" s="4">
        <v>20.888000000000002</v>
      </c>
      <c r="O535" s="4">
        <v>19.634720000000002</v>
      </c>
      <c r="P535" s="4">
        <v>35</v>
      </c>
      <c r="Q535" s="3" t="s">
        <v>26</v>
      </c>
      <c r="R535" s="3">
        <v>0</v>
      </c>
      <c r="S535" s="3" t="s">
        <v>270</v>
      </c>
      <c r="T535" s="3" t="s">
        <v>431</v>
      </c>
      <c r="U535" s="3">
        <v>0</v>
      </c>
      <c r="V535" s="3">
        <v>66</v>
      </c>
      <c r="W535" s="3">
        <v>10</v>
      </c>
    </row>
    <row r="536" spans="1:23" ht="11.25" customHeight="1" x14ac:dyDescent="0.25">
      <c r="A536" s="3" t="s">
        <v>55</v>
      </c>
      <c r="B536" s="3" t="s">
        <v>33</v>
      </c>
      <c r="C536" s="3" t="s">
        <v>23</v>
      </c>
      <c r="D536" s="3" t="s">
        <v>49</v>
      </c>
      <c r="E536" s="3" t="s">
        <v>50</v>
      </c>
      <c r="F536" s="3" t="s">
        <v>25</v>
      </c>
      <c r="G536" s="3" t="s">
        <v>25</v>
      </c>
      <c r="H536" s="3" t="s">
        <v>25</v>
      </c>
      <c r="I536" s="6">
        <v>44774</v>
      </c>
      <c r="J536" s="4">
        <v>0</v>
      </c>
      <c r="K536" s="4">
        <v>0</v>
      </c>
      <c r="L536" s="4">
        <v>20.888000000000002</v>
      </c>
      <c r="M536" s="4">
        <v>19.634720000000002</v>
      </c>
      <c r="N536" s="4">
        <v>20.888000000000002</v>
      </c>
      <c r="O536" s="4">
        <v>19.634720000000002</v>
      </c>
      <c r="P536" s="4">
        <v>35</v>
      </c>
      <c r="Q536" s="3" t="s">
        <v>26</v>
      </c>
      <c r="R536" s="3">
        <v>0</v>
      </c>
      <c r="S536" s="3" t="s">
        <v>271</v>
      </c>
      <c r="T536" s="3" t="s">
        <v>432</v>
      </c>
      <c r="U536" s="3">
        <v>0</v>
      </c>
      <c r="V536" s="3">
        <v>66</v>
      </c>
      <c r="W536" s="3">
        <v>10</v>
      </c>
    </row>
    <row r="537" spans="1:23" ht="11.25" customHeight="1" x14ac:dyDescent="0.25">
      <c r="A537" s="3" t="s">
        <v>21</v>
      </c>
      <c r="B537" s="3" t="s">
        <v>46</v>
      </c>
      <c r="C537" s="3" t="s">
        <v>23</v>
      </c>
      <c r="D537" s="3" t="s">
        <v>47</v>
      </c>
      <c r="E537" s="3" t="s">
        <v>48</v>
      </c>
      <c r="F537" s="3" t="s">
        <v>25</v>
      </c>
      <c r="G537" s="3" t="s">
        <v>25</v>
      </c>
      <c r="H537" s="3" t="s">
        <v>25</v>
      </c>
      <c r="I537" s="6">
        <v>44440</v>
      </c>
      <c r="J537" s="4">
        <v>0</v>
      </c>
      <c r="K537" s="4">
        <v>0</v>
      </c>
      <c r="L537" s="4">
        <v>432.84500000000003</v>
      </c>
      <c r="M537" s="4">
        <v>432.84500000000003</v>
      </c>
      <c r="N537" s="4">
        <v>432.84500000000003</v>
      </c>
      <c r="O537" s="4">
        <v>432.84500000000003</v>
      </c>
      <c r="P537" s="4">
        <v>6</v>
      </c>
      <c r="Q537" s="3" t="s">
        <v>26</v>
      </c>
      <c r="R537" s="3">
        <v>0</v>
      </c>
      <c r="S537" s="3" t="s">
        <v>272</v>
      </c>
      <c r="T537" s="3" t="s">
        <v>433</v>
      </c>
      <c r="U537" s="3">
        <v>0</v>
      </c>
      <c r="V537" s="3">
        <v>63</v>
      </c>
      <c r="W537" s="3">
        <v>12</v>
      </c>
    </row>
    <row r="538" spans="1:23" ht="11.25" customHeight="1" x14ac:dyDescent="0.25">
      <c r="A538" s="3" t="s">
        <v>21</v>
      </c>
      <c r="B538" s="3" t="s">
        <v>46</v>
      </c>
      <c r="C538" s="3" t="s">
        <v>23</v>
      </c>
      <c r="D538" s="3" t="s">
        <v>47</v>
      </c>
      <c r="E538" s="3" t="s">
        <v>48</v>
      </c>
      <c r="F538" s="3" t="s">
        <v>25</v>
      </c>
      <c r="G538" s="3" t="s">
        <v>25</v>
      </c>
      <c r="H538" s="3" t="s">
        <v>25</v>
      </c>
      <c r="I538" s="6">
        <v>44470</v>
      </c>
      <c r="J538" s="4">
        <v>0</v>
      </c>
      <c r="K538" s="4">
        <v>0</v>
      </c>
      <c r="L538" s="4">
        <v>398.983</v>
      </c>
      <c r="M538" s="4">
        <v>398.983</v>
      </c>
      <c r="N538" s="4">
        <v>398.983</v>
      </c>
      <c r="O538" s="4">
        <v>398.983</v>
      </c>
      <c r="P538" s="4">
        <v>6</v>
      </c>
      <c r="Q538" s="3" t="s">
        <v>26</v>
      </c>
      <c r="R538" s="3">
        <v>0</v>
      </c>
      <c r="S538" s="3" t="s">
        <v>273</v>
      </c>
      <c r="T538" s="3" t="s">
        <v>434</v>
      </c>
      <c r="U538" s="3">
        <v>0</v>
      </c>
      <c r="V538" s="3">
        <v>63</v>
      </c>
      <c r="W538" s="3">
        <v>12</v>
      </c>
    </row>
    <row r="539" spans="1:23" ht="11.25" customHeight="1" x14ac:dyDescent="0.25">
      <c r="A539" s="3" t="s">
        <v>21</v>
      </c>
      <c r="B539" s="3" t="s">
        <v>46</v>
      </c>
      <c r="C539" s="3" t="s">
        <v>23</v>
      </c>
      <c r="D539" s="3" t="s">
        <v>47</v>
      </c>
      <c r="E539" s="3" t="s">
        <v>48</v>
      </c>
      <c r="F539" s="3" t="s">
        <v>25</v>
      </c>
      <c r="G539" s="3" t="s">
        <v>25</v>
      </c>
      <c r="H539" s="3" t="s">
        <v>25</v>
      </c>
      <c r="I539" s="6">
        <v>44501</v>
      </c>
      <c r="J539" s="4">
        <v>0</v>
      </c>
      <c r="K539" s="4">
        <v>0</v>
      </c>
      <c r="L539" s="4">
        <v>370.55399999999997</v>
      </c>
      <c r="M539" s="4">
        <v>370.55399999999997</v>
      </c>
      <c r="N539" s="4">
        <v>370.55399999999997</v>
      </c>
      <c r="O539" s="4">
        <v>370.55399999999997</v>
      </c>
      <c r="P539" s="4">
        <v>6</v>
      </c>
      <c r="Q539" s="3" t="s">
        <v>26</v>
      </c>
      <c r="R539" s="3">
        <v>0</v>
      </c>
      <c r="S539" s="3" t="s">
        <v>274</v>
      </c>
      <c r="T539" s="3" t="s">
        <v>435</v>
      </c>
      <c r="U539" s="3">
        <v>0</v>
      </c>
      <c r="V539" s="3">
        <v>63</v>
      </c>
      <c r="W539" s="3">
        <v>12</v>
      </c>
    </row>
    <row r="540" spans="1:23" ht="11.25" customHeight="1" x14ac:dyDescent="0.25">
      <c r="A540" s="3" t="s">
        <v>21</v>
      </c>
      <c r="B540" s="3" t="s">
        <v>46</v>
      </c>
      <c r="C540" s="3" t="s">
        <v>23</v>
      </c>
      <c r="D540" s="3" t="s">
        <v>47</v>
      </c>
      <c r="E540" s="3" t="s">
        <v>48</v>
      </c>
      <c r="F540" s="3" t="s">
        <v>25</v>
      </c>
      <c r="G540" s="3" t="s">
        <v>25</v>
      </c>
      <c r="H540" s="3" t="s">
        <v>25</v>
      </c>
      <c r="I540" s="6">
        <v>44531</v>
      </c>
      <c r="J540" s="4">
        <v>0</v>
      </c>
      <c r="K540" s="4">
        <v>0</v>
      </c>
      <c r="L540" s="4">
        <v>359.423</v>
      </c>
      <c r="M540" s="4">
        <v>359.423</v>
      </c>
      <c r="N540" s="4">
        <v>359.423</v>
      </c>
      <c r="O540" s="4">
        <v>359.423</v>
      </c>
      <c r="P540" s="4">
        <v>6</v>
      </c>
      <c r="Q540" s="3" t="s">
        <v>26</v>
      </c>
      <c r="R540" s="3">
        <v>0</v>
      </c>
      <c r="S540" s="3" t="s">
        <v>275</v>
      </c>
      <c r="T540" s="3" t="s">
        <v>436</v>
      </c>
      <c r="U540" s="3">
        <v>0</v>
      </c>
      <c r="V540" s="3">
        <v>63</v>
      </c>
      <c r="W540" s="3">
        <v>12</v>
      </c>
    </row>
    <row r="541" spans="1:23" ht="11.25" customHeight="1" x14ac:dyDescent="0.25">
      <c r="A541" s="3" t="s">
        <v>21</v>
      </c>
      <c r="B541" s="3" t="s">
        <v>46</v>
      </c>
      <c r="C541" s="3" t="s">
        <v>23</v>
      </c>
      <c r="D541" s="3" t="s">
        <v>47</v>
      </c>
      <c r="E541" s="3" t="s">
        <v>48</v>
      </c>
      <c r="F541" s="3" t="s">
        <v>25</v>
      </c>
      <c r="G541" s="3" t="s">
        <v>25</v>
      </c>
      <c r="H541" s="3" t="s">
        <v>25</v>
      </c>
      <c r="I541" s="6">
        <v>44562</v>
      </c>
      <c r="J541" s="4">
        <v>0</v>
      </c>
      <c r="K541" s="4">
        <v>0</v>
      </c>
      <c r="L541" s="4">
        <v>364.65699999999998</v>
      </c>
      <c r="M541" s="4">
        <v>364.65699999999998</v>
      </c>
      <c r="N541" s="4">
        <v>364.65699999999998</v>
      </c>
      <c r="O541" s="4">
        <v>364.65699999999998</v>
      </c>
      <c r="P541" s="4">
        <v>6</v>
      </c>
      <c r="Q541" s="3" t="s">
        <v>26</v>
      </c>
      <c r="R541" s="3">
        <v>0</v>
      </c>
      <c r="S541" s="3" t="s">
        <v>276</v>
      </c>
      <c r="T541" s="3" t="s">
        <v>437</v>
      </c>
      <c r="U541" s="3">
        <v>0</v>
      </c>
      <c r="V541" s="3">
        <v>63</v>
      </c>
      <c r="W541" s="3">
        <v>12</v>
      </c>
    </row>
    <row r="542" spans="1:23" ht="11.25" customHeight="1" x14ac:dyDescent="0.25">
      <c r="A542" s="3" t="s">
        <v>21</v>
      </c>
      <c r="B542" s="3" t="s">
        <v>46</v>
      </c>
      <c r="C542" s="3" t="s">
        <v>23</v>
      </c>
      <c r="D542" s="3" t="s">
        <v>47</v>
      </c>
      <c r="E542" s="3" t="s">
        <v>48</v>
      </c>
      <c r="F542" s="3" t="s">
        <v>25</v>
      </c>
      <c r="G542" s="3" t="s">
        <v>25</v>
      </c>
      <c r="H542" s="3" t="s">
        <v>25</v>
      </c>
      <c r="I542" s="6">
        <v>44593</v>
      </c>
      <c r="J542" s="4">
        <v>0</v>
      </c>
      <c r="K542" s="4">
        <v>0</v>
      </c>
      <c r="L542" s="4">
        <v>388.91399999999999</v>
      </c>
      <c r="M542" s="4">
        <v>388.91399999999999</v>
      </c>
      <c r="N542" s="4">
        <v>388.91399999999999</v>
      </c>
      <c r="O542" s="4">
        <v>388.91399999999999</v>
      </c>
      <c r="P542" s="4">
        <v>6</v>
      </c>
      <c r="Q542" s="3" t="s">
        <v>26</v>
      </c>
      <c r="R542" s="3">
        <v>0</v>
      </c>
      <c r="S542" s="3" t="s">
        <v>277</v>
      </c>
      <c r="T542" s="3" t="s">
        <v>438</v>
      </c>
      <c r="U542" s="3">
        <v>0</v>
      </c>
      <c r="V542" s="3">
        <v>63</v>
      </c>
      <c r="W542" s="3">
        <v>12</v>
      </c>
    </row>
    <row r="543" spans="1:23" ht="11.25" customHeight="1" x14ac:dyDescent="0.25">
      <c r="A543" s="3" t="s">
        <v>21</v>
      </c>
      <c r="B543" s="3" t="s">
        <v>46</v>
      </c>
      <c r="C543" s="3" t="s">
        <v>23</v>
      </c>
      <c r="D543" s="3" t="s">
        <v>47</v>
      </c>
      <c r="E543" s="3" t="s">
        <v>48</v>
      </c>
      <c r="F543" s="3" t="s">
        <v>25</v>
      </c>
      <c r="G543" s="3" t="s">
        <v>25</v>
      </c>
      <c r="H543" s="3" t="s">
        <v>25</v>
      </c>
      <c r="I543" s="6">
        <v>44621</v>
      </c>
      <c r="J543" s="4">
        <v>0</v>
      </c>
      <c r="K543" s="4">
        <v>0</v>
      </c>
      <c r="L543" s="4">
        <v>420.53800000000001</v>
      </c>
      <c r="M543" s="4">
        <v>420.53800000000001</v>
      </c>
      <c r="N543" s="4">
        <v>420.53800000000001</v>
      </c>
      <c r="O543" s="4">
        <v>420.53800000000001</v>
      </c>
      <c r="P543" s="4">
        <v>6</v>
      </c>
      <c r="Q543" s="3" t="s">
        <v>26</v>
      </c>
      <c r="R543" s="3">
        <v>0</v>
      </c>
      <c r="S543" s="3" t="s">
        <v>278</v>
      </c>
      <c r="T543" s="3" t="s">
        <v>439</v>
      </c>
      <c r="U543" s="3">
        <v>0</v>
      </c>
      <c r="V543" s="3">
        <v>63</v>
      </c>
      <c r="W543" s="3">
        <v>12</v>
      </c>
    </row>
    <row r="544" spans="1:23" ht="11.25" customHeight="1" x14ac:dyDescent="0.25">
      <c r="A544" s="3" t="s">
        <v>21</v>
      </c>
      <c r="B544" s="3" t="s">
        <v>46</v>
      </c>
      <c r="C544" s="3" t="s">
        <v>23</v>
      </c>
      <c r="D544" s="3" t="s">
        <v>47</v>
      </c>
      <c r="E544" s="3" t="s">
        <v>48</v>
      </c>
      <c r="F544" s="3" t="s">
        <v>25</v>
      </c>
      <c r="G544" s="3" t="s">
        <v>25</v>
      </c>
      <c r="H544" s="3" t="s">
        <v>25</v>
      </c>
      <c r="I544" s="6">
        <v>44652</v>
      </c>
      <c r="J544" s="4">
        <v>0</v>
      </c>
      <c r="K544" s="4">
        <v>0</v>
      </c>
      <c r="L544" s="4">
        <v>452.99599999999998</v>
      </c>
      <c r="M544" s="4">
        <v>452.99599999999998</v>
      </c>
      <c r="N544" s="4">
        <v>452.99599999999998</v>
      </c>
      <c r="O544" s="4">
        <v>452.99599999999998</v>
      </c>
      <c r="P544" s="4">
        <v>6</v>
      </c>
      <c r="Q544" s="3" t="s">
        <v>26</v>
      </c>
      <c r="R544" s="3">
        <v>0</v>
      </c>
      <c r="S544" s="3" t="s">
        <v>279</v>
      </c>
      <c r="T544" s="3" t="s">
        <v>440</v>
      </c>
      <c r="U544" s="3">
        <v>0</v>
      </c>
      <c r="V544" s="3">
        <v>63</v>
      </c>
      <c r="W544" s="3">
        <v>12</v>
      </c>
    </row>
    <row r="545" spans="1:23" ht="11.25" customHeight="1" x14ac:dyDescent="0.25">
      <c r="A545" s="3" t="s">
        <v>21</v>
      </c>
      <c r="B545" s="3" t="s">
        <v>46</v>
      </c>
      <c r="C545" s="3" t="s">
        <v>23</v>
      </c>
      <c r="D545" s="3" t="s">
        <v>47</v>
      </c>
      <c r="E545" s="3" t="s">
        <v>48</v>
      </c>
      <c r="F545" s="3" t="s">
        <v>25</v>
      </c>
      <c r="G545" s="3" t="s">
        <v>25</v>
      </c>
      <c r="H545" s="3" t="s">
        <v>25</v>
      </c>
      <c r="I545" s="6">
        <v>44682</v>
      </c>
      <c r="J545" s="4">
        <v>0</v>
      </c>
      <c r="K545" s="4">
        <v>0</v>
      </c>
      <c r="L545" s="4">
        <v>479.12</v>
      </c>
      <c r="M545" s="4">
        <v>479.12</v>
      </c>
      <c r="N545" s="4">
        <v>479.12</v>
      </c>
      <c r="O545" s="4">
        <v>479.12</v>
      </c>
      <c r="P545" s="4">
        <v>6</v>
      </c>
      <c r="Q545" s="3" t="s">
        <v>26</v>
      </c>
      <c r="R545" s="3">
        <v>0</v>
      </c>
      <c r="S545" s="3" t="s">
        <v>280</v>
      </c>
      <c r="T545" s="3" t="s">
        <v>441</v>
      </c>
      <c r="U545" s="3">
        <v>0</v>
      </c>
      <c r="V545" s="3">
        <v>63</v>
      </c>
      <c r="W545" s="3">
        <v>12</v>
      </c>
    </row>
    <row r="546" spans="1:23" ht="11.25" customHeight="1" x14ac:dyDescent="0.25">
      <c r="A546" s="3" t="s">
        <v>21</v>
      </c>
      <c r="B546" s="3" t="s">
        <v>46</v>
      </c>
      <c r="C546" s="3" t="s">
        <v>23</v>
      </c>
      <c r="D546" s="3" t="s">
        <v>47</v>
      </c>
      <c r="E546" s="3" t="s">
        <v>48</v>
      </c>
      <c r="F546" s="3" t="s">
        <v>25</v>
      </c>
      <c r="G546" s="3" t="s">
        <v>25</v>
      </c>
      <c r="H546" s="3" t="s">
        <v>25</v>
      </c>
      <c r="I546" s="6">
        <v>44713</v>
      </c>
      <c r="J546" s="4">
        <v>0</v>
      </c>
      <c r="K546" s="4">
        <v>0</v>
      </c>
      <c r="L546" s="4">
        <v>492.63400000000001</v>
      </c>
      <c r="M546" s="4">
        <v>492.63400000000001</v>
      </c>
      <c r="N546" s="4">
        <v>492.63400000000001</v>
      </c>
      <c r="O546" s="4">
        <v>492.63400000000001</v>
      </c>
      <c r="P546" s="4">
        <v>6</v>
      </c>
      <c r="Q546" s="3" t="s">
        <v>26</v>
      </c>
      <c r="R546" s="3">
        <v>0</v>
      </c>
      <c r="S546" s="3" t="s">
        <v>281</v>
      </c>
      <c r="T546" s="3" t="s">
        <v>442</v>
      </c>
      <c r="U546" s="3">
        <v>0</v>
      </c>
      <c r="V546" s="3">
        <v>63</v>
      </c>
      <c r="W546" s="3">
        <v>12</v>
      </c>
    </row>
    <row r="547" spans="1:23" ht="11.25" customHeight="1" x14ac:dyDescent="0.25">
      <c r="A547" s="3" t="s">
        <v>21</v>
      </c>
      <c r="B547" s="3" t="s">
        <v>46</v>
      </c>
      <c r="C547" s="3" t="s">
        <v>23</v>
      </c>
      <c r="D547" s="3" t="s">
        <v>47</v>
      </c>
      <c r="E547" s="3" t="s">
        <v>48</v>
      </c>
      <c r="F547" s="3" t="s">
        <v>25</v>
      </c>
      <c r="G547" s="3" t="s">
        <v>25</v>
      </c>
      <c r="H547" s="3" t="s">
        <v>25</v>
      </c>
      <c r="I547" s="6">
        <v>44743</v>
      </c>
      <c r="J547" s="4">
        <v>0</v>
      </c>
      <c r="K547" s="4">
        <v>0</v>
      </c>
      <c r="L547" s="4">
        <v>488.19900000000001</v>
      </c>
      <c r="M547" s="4">
        <v>488.19900000000001</v>
      </c>
      <c r="N547" s="4">
        <v>488.19900000000001</v>
      </c>
      <c r="O547" s="4">
        <v>488.19900000000001</v>
      </c>
      <c r="P547" s="4">
        <v>6</v>
      </c>
      <c r="Q547" s="3" t="s">
        <v>26</v>
      </c>
      <c r="R547" s="3">
        <v>0</v>
      </c>
      <c r="S547" s="3" t="s">
        <v>282</v>
      </c>
      <c r="T547" s="3" t="s">
        <v>443</v>
      </c>
      <c r="U547" s="3">
        <v>0</v>
      </c>
      <c r="V547" s="3">
        <v>63</v>
      </c>
      <c r="W547" s="3">
        <v>12</v>
      </c>
    </row>
    <row r="548" spans="1:23" ht="11.25" customHeight="1" x14ac:dyDescent="0.25">
      <c r="A548" s="3" t="s">
        <v>55</v>
      </c>
      <c r="B548" s="3" t="s">
        <v>46</v>
      </c>
      <c r="C548" s="3" t="s">
        <v>23</v>
      </c>
      <c r="D548" s="3" t="s">
        <v>47</v>
      </c>
      <c r="E548" s="3" t="s">
        <v>48</v>
      </c>
      <c r="F548" s="3" t="s">
        <v>25</v>
      </c>
      <c r="G548" s="3" t="s">
        <v>25</v>
      </c>
      <c r="H548" s="3" t="s">
        <v>25</v>
      </c>
      <c r="I548" s="6">
        <v>44774</v>
      </c>
      <c r="J548" s="4">
        <v>0</v>
      </c>
      <c r="K548" s="4">
        <v>0</v>
      </c>
      <c r="L548" s="4">
        <v>488.19900000000001</v>
      </c>
      <c r="M548" s="4">
        <v>488.19900000000001</v>
      </c>
      <c r="N548" s="4">
        <v>488.19900000000001</v>
      </c>
      <c r="O548" s="4">
        <v>488.19900000000001</v>
      </c>
      <c r="P548" s="4">
        <v>6</v>
      </c>
      <c r="Q548" s="3" t="s">
        <v>26</v>
      </c>
      <c r="R548" s="3">
        <v>0</v>
      </c>
      <c r="S548" s="3" t="s">
        <v>283</v>
      </c>
      <c r="T548" s="3" t="s">
        <v>444</v>
      </c>
      <c r="U548" s="3">
        <v>0</v>
      </c>
      <c r="V548" s="3">
        <v>63</v>
      </c>
      <c r="W548" s="3">
        <v>12</v>
      </c>
    </row>
  </sheetData>
  <sortState xmlns:xlrd2="http://schemas.microsoft.com/office/spreadsheetml/2017/richdata2" ref="A2:W548">
    <sortCondition ref="B2:B548"/>
    <sortCondition ref="C2:C548"/>
    <sortCondition ref="D2:D548"/>
    <sortCondition ref="E2:E548"/>
    <sortCondition ref="F2:F548"/>
    <sortCondition ref="H2:H548"/>
  </sortState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D0AF-ED44-45EC-8505-48494A806AAC}">
  <dimension ref="A1:H72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72</v>
      </c>
    </row>
    <row r="2" spans="1:8" ht="11.25" customHeight="1" x14ac:dyDescent="0.25">
      <c r="A2" s="8" t="s">
        <v>309</v>
      </c>
      <c r="B2" s="8" t="s">
        <v>310</v>
      </c>
      <c r="C2" s="8" t="s">
        <v>311</v>
      </c>
      <c r="D2" s="8">
        <v>38</v>
      </c>
      <c r="E2" s="8" t="s">
        <v>312</v>
      </c>
    </row>
    <row r="3" spans="1:8" ht="11.25" customHeight="1" x14ac:dyDescent="0.25">
      <c r="A3" s="8" t="s">
        <v>309</v>
      </c>
      <c r="B3" s="8" t="s">
        <v>310</v>
      </c>
      <c r="C3" s="8" t="s">
        <v>311</v>
      </c>
      <c r="D3" s="8">
        <v>39</v>
      </c>
      <c r="E3" s="8" t="s">
        <v>312</v>
      </c>
    </row>
    <row r="4" spans="1:8" ht="11.25" customHeight="1" x14ac:dyDescent="0.25">
      <c r="A4" s="8" t="s">
        <v>309</v>
      </c>
      <c r="B4" s="8" t="s">
        <v>310</v>
      </c>
      <c r="C4" s="8" t="s">
        <v>311</v>
      </c>
      <c r="D4" s="8">
        <v>40</v>
      </c>
      <c r="E4" s="8" t="s">
        <v>312</v>
      </c>
    </row>
    <row r="5" spans="1:8" ht="11.25" customHeight="1" x14ac:dyDescent="0.25">
      <c r="A5" s="8" t="s">
        <v>309</v>
      </c>
      <c r="B5" s="8" t="s">
        <v>310</v>
      </c>
      <c r="C5" s="8" t="s">
        <v>311</v>
      </c>
      <c r="D5" s="8">
        <v>41</v>
      </c>
      <c r="E5" s="8" t="s">
        <v>312</v>
      </c>
    </row>
    <row r="6" spans="1:8" ht="11.25" customHeight="1" x14ac:dyDescent="0.25">
      <c r="A6" s="8" t="s">
        <v>309</v>
      </c>
      <c r="B6" s="8" t="s">
        <v>310</v>
      </c>
      <c r="C6" s="8" t="s">
        <v>311</v>
      </c>
      <c r="D6" s="8">
        <v>42</v>
      </c>
      <c r="E6" s="8" t="s">
        <v>312</v>
      </c>
    </row>
    <row r="7" spans="1:8" ht="11.25" customHeight="1" x14ac:dyDescent="0.25">
      <c r="A7" s="8" t="s">
        <v>309</v>
      </c>
      <c r="B7" s="8" t="s">
        <v>310</v>
      </c>
      <c r="C7" s="8" t="s">
        <v>311</v>
      </c>
      <c r="D7" s="8">
        <v>43</v>
      </c>
      <c r="E7" s="8" t="s">
        <v>312</v>
      </c>
    </row>
    <row r="8" spans="1:8" ht="11.25" customHeight="1" x14ac:dyDescent="0.25">
      <c r="A8" s="8" t="s">
        <v>309</v>
      </c>
      <c r="B8" s="8" t="s">
        <v>310</v>
      </c>
      <c r="C8" s="8" t="s">
        <v>311</v>
      </c>
      <c r="D8" s="8">
        <v>44</v>
      </c>
      <c r="E8" s="8" t="s">
        <v>312</v>
      </c>
    </row>
    <row r="9" spans="1:8" ht="11.25" customHeight="1" x14ac:dyDescent="0.25">
      <c r="A9" s="8" t="s">
        <v>309</v>
      </c>
      <c r="B9" s="8" t="s">
        <v>310</v>
      </c>
      <c r="C9" s="8" t="s">
        <v>311</v>
      </c>
      <c r="D9" s="8">
        <v>45</v>
      </c>
      <c r="E9" s="8" t="s">
        <v>312</v>
      </c>
    </row>
    <row r="10" spans="1:8" ht="11.25" customHeight="1" x14ac:dyDescent="0.25">
      <c r="A10" s="8" t="s">
        <v>309</v>
      </c>
      <c r="B10" s="8" t="s">
        <v>310</v>
      </c>
      <c r="C10" s="8" t="s">
        <v>311</v>
      </c>
      <c r="D10" s="8">
        <v>46</v>
      </c>
      <c r="E10" s="8" t="s">
        <v>312</v>
      </c>
    </row>
    <row r="11" spans="1:8" ht="11.25" customHeight="1" x14ac:dyDescent="0.25">
      <c r="A11" s="8" t="s">
        <v>309</v>
      </c>
      <c r="B11" s="8" t="s">
        <v>310</v>
      </c>
      <c r="C11" s="8" t="s">
        <v>311</v>
      </c>
      <c r="D11" s="8">
        <v>47</v>
      </c>
      <c r="E11" s="8" t="s">
        <v>312</v>
      </c>
    </row>
    <row r="12" spans="1:8" ht="11.25" customHeight="1" x14ac:dyDescent="0.25">
      <c r="A12" s="8" t="s">
        <v>309</v>
      </c>
      <c r="B12" s="8" t="s">
        <v>310</v>
      </c>
      <c r="C12" s="8" t="s">
        <v>311</v>
      </c>
      <c r="D12" s="8">
        <v>48</v>
      </c>
      <c r="E12" s="8" t="s">
        <v>312</v>
      </c>
    </row>
    <row r="13" spans="1:8" ht="11.25" customHeight="1" x14ac:dyDescent="0.25">
      <c r="A13" s="8" t="s">
        <v>309</v>
      </c>
      <c r="B13" s="8" t="s">
        <v>310</v>
      </c>
      <c r="C13" s="8" t="s">
        <v>311</v>
      </c>
      <c r="D13" s="8">
        <v>49</v>
      </c>
      <c r="E13" s="8" t="s">
        <v>312</v>
      </c>
    </row>
    <row r="14" spans="1:8" ht="11.25" customHeight="1" x14ac:dyDescent="0.25">
      <c r="A14" s="8" t="s">
        <v>309</v>
      </c>
      <c r="B14" s="8" t="s">
        <v>310</v>
      </c>
      <c r="C14" s="8" t="s">
        <v>311</v>
      </c>
      <c r="D14" s="8">
        <v>83</v>
      </c>
      <c r="E14" s="8" t="s">
        <v>312</v>
      </c>
    </row>
    <row r="15" spans="1:8" ht="11.25" customHeight="1" x14ac:dyDescent="0.25">
      <c r="A15" s="8" t="s">
        <v>309</v>
      </c>
      <c r="B15" s="8" t="s">
        <v>310</v>
      </c>
      <c r="C15" s="8" t="s">
        <v>311</v>
      </c>
      <c r="D15" s="8">
        <v>84</v>
      </c>
      <c r="E15" s="8" t="s">
        <v>312</v>
      </c>
    </row>
    <row r="16" spans="1:8" ht="11.25" customHeight="1" x14ac:dyDescent="0.25">
      <c r="A16" s="8" t="s">
        <v>309</v>
      </c>
      <c r="B16" s="8" t="s">
        <v>310</v>
      </c>
      <c r="C16" s="8" t="s">
        <v>311</v>
      </c>
      <c r="D16" s="8">
        <v>85</v>
      </c>
      <c r="E16" s="8" t="s">
        <v>312</v>
      </c>
    </row>
    <row r="17" spans="1:5" ht="11.25" customHeight="1" x14ac:dyDescent="0.25">
      <c r="A17" s="8" t="s">
        <v>309</v>
      </c>
      <c r="B17" s="8" t="s">
        <v>310</v>
      </c>
      <c r="C17" s="8" t="s">
        <v>311</v>
      </c>
      <c r="D17" s="8">
        <v>86</v>
      </c>
      <c r="E17" s="8" t="s">
        <v>312</v>
      </c>
    </row>
    <row r="18" spans="1:5" ht="11.25" customHeight="1" x14ac:dyDescent="0.25">
      <c r="A18" s="8" t="s">
        <v>309</v>
      </c>
      <c r="B18" s="8" t="s">
        <v>310</v>
      </c>
      <c r="C18" s="8" t="s">
        <v>311</v>
      </c>
      <c r="D18" s="8">
        <v>87</v>
      </c>
      <c r="E18" s="8" t="s">
        <v>312</v>
      </c>
    </row>
    <row r="19" spans="1:5" ht="11.25" customHeight="1" x14ac:dyDescent="0.25">
      <c r="A19" s="8" t="s">
        <v>309</v>
      </c>
      <c r="B19" s="8" t="s">
        <v>310</v>
      </c>
      <c r="C19" s="8" t="s">
        <v>311</v>
      </c>
      <c r="D19" s="8">
        <v>88</v>
      </c>
      <c r="E19" s="8" t="s">
        <v>312</v>
      </c>
    </row>
    <row r="20" spans="1:5" ht="11.25" customHeight="1" x14ac:dyDescent="0.25">
      <c r="A20" s="8" t="s">
        <v>309</v>
      </c>
      <c r="B20" s="8" t="s">
        <v>310</v>
      </c>
      <c r="C20" s="8" t="s">
        <v>311</v>
      </c>
      <c r="D20" s="8">
        <v>89</v>
      </c>
      <c r="E20" s="8" t="s">
        <v>312</v>
      </c>
    </row>
    <row r="21" spans="1:5" ht="11.25" customHeight="1" x14ac:dyDescent="0.25">
      <c r="A21" s="8" t="s">
        <v>309</v>
      </c>
      <c r="B21" s="8" t="s">
        <v>310</v>
      </c>
      <c r="C21" s="8" t="s">
        <v>311</v>
      </c>
      <c r="D21" s="8">
        <v>90</v>
      </c>
      <c r="E21" s="8" t="s">
        <v>312</v>
      </c>
    </row>
    <row r="22" spans="1:5" ht="11.25" customHeight="1" x14ac:dyDescent="0.25">
      <c r="A22" s="8" t="s">
        <v>309</v>
      </c>
      <c r="B22" s="8" t="s">
        <v>310</v>
      </c>
      <c r="C22" s="8" t="s">
        <v>311</v>
      </c>
      <c r="D22" s="8">
        <v>91</v>
      </c>
      <c r="E22" s="8" t="s">
        <v>312</v>
      </c>
    </row>
    <row r="23" spans="1:5" ht="11.25" customHeight="1" x14ac:dyDescent="0.25">
      <c r="A23" s="8" t="s">
        <v>309</v>
      </c>
      <c r="B23" s="8" t="s">
        <v>310</v>
      </c>
      <c r="C23" s="8" t="s">
        <v>311</v>
      </c>
      <c r="D23" s="8">
        <v>92</v>
      </c>
      <c r="E23" s="8" t="s">
        <v>312</v>
      </c>
    </row>
    <row r="24" spans="1:5" ht="11.25" customHeight="1" x14ac:dyDescent="0.25">
      <c r="A24" s="8" t="s">
        <v>309</v>
      </c>
      <c r="B24" s="8" t="s">
        <v>310</v>
      </c>
      <c r="C24" s="8" t="s">
        <v>311</v>
      </c>
      <c r="D24" s="8">
        <v>93</v>
      </c>
      <c r="E24" s="8" t="s">
        <v>312</v>
      </c>
    </row>
    <row r="25" spans="1:5" ht="11.25" customHeight="1" x14ac:dyDescent="0.25">
      <c r="A25" s="8" t="s">
        <v>309</v>
      </c>
      <c r="B25" s="8" t="s">
        <v>310</v>
      </c>
      <c r="C25" s="8" t="s">
        <v>311</v>
      </c>
      <c r="D25" s="8">
        <v>94</v>
      </c>
      <c r="E25" s="8" t="s">
        <v>312</v>
      </c>
    </row>
    <row r="26" spans="1:5" ht="11.25" customHeight="1" x14ac:dyDescent="0.25">
      <c r="A26" s="8" t="s">
        <v>309</v>
      </c>
      <c r="B26" s="8" t="s">
        <v>310</v>
      </c>
      <c r="C26" s="8" t="s">
        <v>311</v>
      </c>
      <c r="D26" s="8">
        <v>95</v>
      </c>
      <c r="E26" s="8" t="s">
        <v>312</v>
      </c>
    </row>
    <row r="27" spans="1:5" ht="11.25" customHeight="1" x14ac:dyDescent="0.25">
      <c r="A27" s="8" t="s">
        <v>309</v>
      </c>
      <c r="B27" s="8" t="s">
        <v>310</v>
      </c>
      <c r="C27" s="8" t="s">
        <v>311</v>
      </c>
      <c r="D27" s="8">
        <v>96</v>
      </c>
      <c r="E27" s="8" t="s">
        <v>312</v>
      </c>
    </row>
    <row r="28" spans="1:5" ht="11.25" customHeight="1" x14ac:dyDescent="0.25">
      <c r="A28" s="8" t="s">
        <v>309</v>
      </c>
      <c r="B28" s="8" t="s">
        <v>310</v>
      </c>
      <c r="C28" s="8" t="s">
        <v>311</v>
      </c>
      <c r="D28" s="8">
        <v>97</v>
      </c>
      <c r="E28" s="8" t="s">
        <v>312</v>
      </c>
    </row>
    <row r="29" spans="1:5" ht="11.25" customHeight="1" x14ac:dyDescent="0.25">
      <c r="A29" s="8" t="s">
        <v>309</v>
      </c>
      <c r="B29" s="8" t="s">
        <v>310</v>
      </c>
      <c r="C29" s="8" t="s">
        <v>311</v>
      </c>
      <c r="D29" s="8">
        <v>98</v>
      </c>
      <c r="E29" s="8" t="s">
        <v>312</v>
      </c>
    </row>
    <row r="30" spans="1:5" ht="11.25" customHeight="1" x14ac:dyDescent="0.25">
      <c r="A30" s="8" t="s">
        <v>309</v>
      </c>
      <c r="B30" s="8" t="s">
        <v>310</v>
      </c>
      <c r="C30" s="8" t="s">
        <v>311</v>
      </c>
      <c r="D30" s="8">
        <v>99</v>
      </c>
      <c r="E30" s="8" t="s">
        <v>312</v>
      </c>
    </row>
    <row r="31" spans="1:5" ht="11.25" customHeight="1" x14ac:dyDescent="0.25">
      <c r="A31" s="8" t="s">
        <v>309</v>
      </c>
      <c r="B31" s="8" t="s">
        <v>310</v>
      </c>
      <c r="C31" s="8" t="s">
        <v>311</v>
      </c>
      <c r="D31" s="8">
        <v>100</v>
      </c>
      <c r="E31" s="8" t="s">
        <v>312</v>
      </c>
    </row>
    <row r="32" spans="1:5" ht="11.25" customHeight="1" x14ac:dyDescent="0.25">
      <c r="A32" s="8" t="s">
        <v>309</v>
      </c>
      <c r="B32" s="8" t="s">
        <v>310</v>
      </c>
      <c r="C32" s="8" t="s">
        <v>311</v>
      </c>
      <c r="D32" s="8">
        <v>101</v>
      </c>
      <c r="E32" s="8" t="s">
        <v>312</v>
      </c>
    </row>
    <row r="33" spans="1:5" ht="11.25" customHeight="1" x14ac:dyDescent="0.25">
      <c r="A33" s="8" t="s">
        <v>309</v>
      </c>
      <c r="B33" s="8" t="s">
        <v>310</v>
      </c>
      <c r="C33" s="8" t="s">
        <v>311</v>
      </c>
      <c r="D33" s="8">
        <v>102</v>
      </c>
      <c r="E33" s="8" t="s">
        <v>312</v>
      </c>
    </row>
    <row r="34" spans="1:5" ht="11.25" customHeight="1" x14ac:dyDescent="0.25">
      <c r="A34" s="8" t="s">
        <v>309</v>
      </c>
      <c r="B34" s="8" t="s">
        <v>310</v>
      </c>
      <c r="C34" s="8" t="s">
        <v>311</v>
      </c>
      <c r="D34" s="8">
        <v>103</v>
      </c>
      <c r="E34" s="8" t="s">
        <v>312</v>
      </c>
    </row>
    <row r="35" spans="1:5" ht="11.25" customHeight="1" x14ac:dyDescent="0.25">
      <c r="A35" s="8" t="s">
        <v>309</v>
      </c>
      <c r="B35" s="8" t="s">
        <v>310</v>
      </c>
      <c r="C35" s="8" t="s">
        <v>311</v>
      </c>
      <c r="D35" s="8">
        <v>104</v>
      </c>
      <c r="E35" s="8" t="s">
        <v>312</v>
      </c>
    </row>
    <row r="36" spans="1:5" ht="11.25" customHeight="1" x14ac:dyDescent="0.25">
      <c r="A36" s="8" t="s">
        <v>309</v>
      </c>
      <c r="B36" s="8" t="s">
        <v>310</v>
      </c>
      <c r="C36" s="8" t="s">
        <v>311</v>
      </c>
      <c r="D36" s="8">
        <v>105</v>
      </c>
      <c r="E36" s="8" t="s">
        <v>312</v>
      </c>
    </row>
    <row r="37" spans="1:5" ht="11.25" customHeight="1" x14ac:dyDescent="0.25">
      <c r="A37" s="8" t="s">
        <v>309</v>
      </c>
      <c r="B37" s="8" t="s">
        <v>310</v>
      </c>
      <c r="C37" s="8" t="s">
        <v>311</v>
      </c>
      <c r="D37" s="8">
        <v>106</v>
      </c>
      <c r="E37" s="8" t="s">
        <v>312</v>
      </c>
    </row>
    <row r="38" spans="1:5" ht="11.25" customHeight="1" x14ac:dyDescent="0.25">
      <c r="A38" s="8" t="s">
        <v>309</v>
      </c>
      <c r="B38" s="8" t="s">
        <v>310</v>
      </c>
      <c r="C38" s="8" t="s">
        <v>311</v>
      </c>
      <c r="D38" s="8">
        <v>141</v>
      </c>
      <c r="E38" s="8" t="s">
        <v>312</v>
      </c>
    </row>
    <row r="39" spans="1:5" ht="11.25" customHeight="1" x14ac:dyDescent="0.25">
      <c r="A39" s="8" t="s">
        <v>309</v>
      </c>
      <c r="B39" s="8" t="s">
        <v>310</v>
      </c>
      <c r="C39" s="8" t="s">
        <v>311</v>
      </c>
      <c r="D39" s="8">
        <v>142</v>
      </c>
      <c r="E39" s="8" t="s">
        <v>312</v>
      </c>
    </row>
    <row r="40" spans="1:5" ht="11.25" customHeight="1" x14ac:dyDescent="0.25">
      <c r="A40" s="8" t="s">
        <v>309</v>
      </c>
      <c r="B40" s="8" t="s">
        <v>310</v>
      </c>
      <c r="C40" s="8" t="s">
        <v>311</v>
      </c>
      <c r="D40" s="8">
        <v>143</v>
      </c>
      <c r="E40" s="8" t="s">
        <v>312</v>
      </c>
    </row>
    <row r="41" spans="1:5" ht="11.25" customHeight="1" x14ac:dyDescent="0.25">
      <c r="A41" s="8" t="s">
        <v>309</v>
      </c>
      <c r="B41" s="8" t="s">
        <v>310</v>
      </c>
      <c r="C41" s="8" t="s">
        <v>311</v>
      </c>
      <c r="D41" s="8">
        <v>144</v>
      </c>
      <c r="E41" s="8" t="s">
        <v>312</v>
      </c>
    </row>
    <row r="42" spans="1:5" ht="11.25" customHeight="1" x14ac:dyDescent="0.25">
      <c r="A42" s="8" t="s">
        <v>309</v>
      </c>
      <c r="B42" s="8" t="s">
        <v>310</v>
      </c>
      <c r="C42" s="8" t="s">
        <v>311</v>
      </c>
      <c r="D42" s="8">
        <v>145</v>
      </c>
      <c r="E42" s="8" t="s">
        <v>312</v>
      </c>
    </row>
    <row r="43" spans="1:5" ht="11.25" customHeight="1" x14ac:dyDescent="0.25">
      <c r="A43" s="8" t="s">
        <v>309</v>
      </c>
      <c r="B43" s="8" t="s">
        <v>310</v>
      </c>
      <c r="C43" s="8" t="s">
        <v>311</v>
      </c>
      <c r="D43" s="8">
        <v>146</v>
      </c>
      <c r="E43" s="8" t="s">
        <v>312</v>
      </c>
    </row>
    <row r="44" spans="1:5" ht="11.25" customHeight="1" x14ac:dyDescent="0.25">
      <c r="A44" s="8" t="s">
        <v>309</v>
      </c>
      <c r="B44" s="8" t="s">
        <v>310</v>
      </c>
      <c r="C44" s="8" t="s">
        <v>311</v>
      </c>
      <c r="D44" s="8">
        <v>147</v>
      </c>
      <c r="E44" s="8" t="s">
        <v>312</v>
      </c>
    </row>
    <row r="45" spans="1:5" ht="11.25" customHeight="1" x14ac:dyDescent="0.25">
      <c r="A45" s="8" t="s">
        <v>309</v>
      </c>
      <c r="B45" s="8" t="s">
        <v>310</v>
      </c>
      <c r="C45" s="8" t="s">
        <v>311</v>
      </c>
      <c r="D45" s="8">
        <v>148</v>
      </c>
      <c r="E45" s="8" t="s">
        <v>312</v>
      </c>
    </row>
    <row r="46" spans="1:5" ht="11.25" customHeight="1" x14ac:dyDescent="0.25">
      <c r="A46" s="8" t="s">
        <v>309</v>
      </c>
      <c r="B46" s="8" t="s">
        <v>310</v>
      </c>
      <c r="C46" s="8" t="s">
        <v>311</v>
      </c>
      <c r="D46" s="8">
        <v>149</v>
      </c>
      <c r="E46" s="8" t="s">
        <v>312</v>
      </c>
    </row>
    <row r="47" spans="1:5" ht="11.25" customHeight="1" x14ac:dyDescent="0.25">
      <c r="A47" s="8" t="s">
        <v>309</v>
      </c>
      <c r="B47" s="8" t="s">
        <v>310</v>
      </c>
      <c r="C47" s="8" t="s">
        <v>311</v>
      </c>
      <c r="D47" s="8">
        <v>150</v>
      </c>
      <c r="E47" s="8" t="s">
        <v>312</v>
      </c>
    </row>
    <row r="48" spans="1:5" ht="11.25" customHeight="1" x14ac:dyDescent="0.25">
      <c r="A48" s="8" t="s">
        <v>309</v>
      </c>
      <c r="B48" s="8" t="s">
        <v>310</v>
      </c>
      <c r="C48" s="8" t="s">
        <v>311</v>
      </c>
      <c r="D48" s="8">
        <v>151</v>
      </c>
      <c r="E48" s="8" t="s">
        <v>312</v>
      </c>
    </row>
    <row r="49" spans="1:5" ht="11.25" customHeight="1" x14ac:dyDescent="0.25">
      <c r="A49" s="8" t="s">
        <v>309</v>
      </c>
      <c r="B49" s="8" t="s">
        <v>310</v>
      </c>
      <c r="C49" s="8" t="s">
        <v>311</v>
      </c>
      <c r="D49" s="8">
        <v>152</v>
      </c>
      <c r="E49" s="8" t="s">
        <v>312</v>
      </c>
    </row>
    <row r="50" spans="1:5" ht="11.25" customHeight="1" x14ac:dyDescent="0.25">
      <c r="A50" s="8" t="s">
        <v>309</v>
      </c>
      <c r="B50" s="8" t="s">
        <v>310</v>
      </c>
      <c r="C50" s="8" t="s">
        <v>311</v>
      </c>
      <c r="D50" s="8">
        <v>177</v>
      </c>
      <c r="E50" s="8" t="s">
        <v>312</v>
      </c>
    </row>
    <row r="51" spans="1:5" ht="11.25" customHeight="1" x14ac:dyDescent="0.25">
      <c r="A51" s="8" t="s">
        <v>309</v>
      </c>
      <c r="B51" s="8" t="s">
        <v>310</v>
      </c>
      <c r="C51" s="8" t="s">
        <v>311</v>
      </c>
      <c r="D51" s="8">
        <v>178</v>
      </c>
      <c r="E51" s="8" t="s">
        <v>312</v>
      </c>
    </row>
    <row r="52" spans="1:5" ht="11.25" customHeight="1" x14ac:dyDescent="0.25">
      <c r="A52" s="8" t="s">
        <v>309</v>
      </c>
      <c r="B52" s="8" t="s">
        <v>310</v>
      </c>
      <c r="C52" s="8" t="s">
        <v>311</v>
      </c>
      <c r="D52" s="8">
        <v>179</v>
      </c>
      <c r="E52" s="8" t="s">
        <v>312</v>
      </c>
    </row>
    <row r="53" spans="1:5" ht="11.25" customHeight="1" x14ac:dyDescent="0.25">
      <c r="A53" s="8" t="s">
        <v>309</v>
      </c>
      <c r="B53" s="8" t="s">
        <v>310</v>
      </c>
      <c r="C53" s="8" t="s">
        <v>311</v>
      </c>
      <c r="D53" s="8">
        <v>180</v>
      </c>
      <c r="E53" s="8" t="s">
        <v>312</v>
      </c>
    </row>
    <row r="54" spans="1:5" ht="11.25" customHeight="1" x14ac:dyDescent="0.25">
      <c r="A54" s="8" t="s">
        <v>309</v>
      </c>
      <c r="B54" s="8" t="s">
        <v>310</v>
      </c>
      <c r="C54" s="8" t="s">
        <v>311</v>
      </c>
      <c r="D54" s="8">
        <v>181</v>
      </c>
      <c r="E54" s="8" t="s">
        <v>312</v>
      </c>
    </row>
    <row r="55" spans="1:5" ht="11.25" customHeight="1" x14ac:dyDescent="0.25">
      <c r="A55" s="8" t="s">
        <v>309</v>
      </c>
      <c r="B55" s="8" t="s">
        <v>310</v>
      </c>
      <c r="C55" s="8" t="s">
        <v>311</v>
      </c>
      <c r="D55" s="8">
        <v>182</v>
      </c>
      <c r="E55" s="8" t="s">
        <v>312</v>
      </c>
    </row>
    <row r="56" spans="1:5" ht="11.25" customHeight="1" x14ac:dyDescent="0.25">
      <c r="A56" s="8" t="s">
        <v>309</v>
      </c>
      <c r="B56" s="8" t="s">
        <v>310</v>
      </c>
      <c r="C56" s="8" t="s">
        <v>311</v>
      </c>
      <c r="D56" s="8">
        <v>183</v>
      </c>
      <c r="E56" s="8" t="s">
        <v>312</v>
      </c>
    </row>
    <row r="57" spans="1:5" ht="11.25" customHeight="1" x14ac:dyDescent="0.25">
      <c r="A57" s="8" t="s">
        <v>309</v>
      </c>
      <c r="B57" s="8" t="s">
        <v>310</v>
      </c>
      <c r="C57" s="8" t="s">
        <v>311</v>
      </c>
      <c r="D57" s="8">
        <v>184</v>
      </c>
      <c r="E57" s="8" t="s">
        <v>312</v>
      </c>
    </row>
    <row r="58" spans="1:5" ht="11.25" customHeight="1" x14ac:dyDescent="0.25">
      <c r="A58" s="8" t="s">
        <v>309</v>
      </c>
      <c r="B58" s="8" t="s">
        <v>310</v>
      </c>
      <c r="C58" s="8" t="s">
        <v>311</v>
      </c>
      <c r="D58" s="8">
        <v>185</v>
      </c>
      <c r="E58" s="8" t="s">
        <v>312</v>
      </c>
    </row>
    <row r="59" spans="1:5" ht="11.25" customHeight="1" x14ac:dyDescent="0.25">
      <c r="A59" s="8" t="s">
        <v>309</v>
      </c>
      <c r="B59" s="8" t="s">
        <v>310</v>
      </c>
      <c r="C59" s="8" t="s">
        <v>311</v>
      </c>
      <c r="D59" s="8">
        <v>186</v>
      </c>
      <c r="E59" s="8" t="s">
        <v>312</v>
      </c>
    </row>
    <row r="60" spans="1:5" ht="11.25" customHeight="1" x14ac:dyDescent="0.25">
      <c r="A60" s="8" t="s">
        <v>309</v>
      </c>
      <c r="B60" s="8" t="s">
        <v>310</v>
      </c>
      <c r="C60" s="8" t="s">
        <v>311</v>
      </c>
      <c r="D60" s="8">
        <v>187</v>
      </c>
      <c r="E60" s="8" t="s">
        <v>312</v>
      </c>
    </row>
    <row r="61" spans="1:5" ht="11.25" customHeight="1" x14ac:dyDescent="0.25">
      <c r="A61" s="8" t="s">
        <v>309</v>
      </c>
      <c r="B61" s="8" t="s">
        <v>310</v>
      </c>
      <c r="C61" s="8" t="s">
        <v>311</v>
      </c>
      <c r="D61" s="8">
        <v>188</v>
      </c>
      <c r="E61" s="8" t="s">
        <v>312</v>
      </c>
    </row>
    <row r="62" spans="1:5" ht="11.25" customHeight="1" x14ac:dyDescent="0.25">
      <c r="A62" s="8" t="s">
        <v>309</v>
      </c>
      <c r="B62" s="8" t="s">
        <v>310</v>
      </c>
      <c r="C62" s="8" t="s">
        <v>311</v>
      </c>
      <c r="D62" s="8">
        <v>207</v>
      </c>
      <c r="E62" s="8" t="s">
        <v>312</v>
      </c>
    </row>
    <row r="63" spans="1:5" ht="11.25" customHeight="1" x14ac:dyDescent="0.25">
      <c r="A63" s="8" t="s">
        <v>309</v>
      </c>
      <c r="B63" s="8" t="s">
        <v>310</v>
      </c>
      <c r="C63" s="8" t="s">
        <v>311</v>
      </c>
      <c r="D63" s="8">
        <v>208</v>
      </c>
      <c r="E63" s="8" t="s">
        <v>312</v>
      </c>
    </row>
    <row r="64" spans="1:5" ht="11.25" customHeight="1" x14ac:dyDescent="0.25">
      <c r="A64" s="8" t="s">
        <v>309</v>
      </c>
      <c r="B64" s="8" t="s">
        <v>310</v>
      </c>
      <c r="C64" s="8" t="s">
        <v>311</v>
      </c>
      <c r="D64" s="8">
        <v>209</v>
      </c>
      <c r="E64" s="8" t="s">
        <v>312</v>
      </c>
    </row>
    <row r="65" spans="1:5" ht="11.25" customHeight="1" x14ac:dyDescent="0.25">
      <c r="A65" s="8" t="s">
        <v>309</v>
      </c>
      <c r="B65" s="8" t="s">
        <v>310</v>
      </c>
      <c r="C65" s="8" t="s">
        <v>311</v>
      </c>
      <c r="D65" s="8">
        <v>210</v>
      </c>
      <c r="E65" s="8" t="s">
        <v>312</v>
      </c>
    </row>
    <row r="66" spans="1:5" ht="11.25" customHeight="1" x14ac:dyDescent="0.25">
      <c r="A66" s="8" t="s">
        <v>309</v>
      </c>
      <c r="B66" s="8" t="s">
        <v>310</v>
      </c>
      <c r="C66" s="8" t="s">
        <v>311</v>
      </c>
      <c r="D66" s="8">
        <v>211</v>
      </c>
      <c r="E66" s="8" t="s">
        <v>312</v>
      </c>
    </row>
    <row r="67" spans="1:5" ht="11.25" customHeight="1" x14ac:dyDescent="0.25">
      <c r="A67" s="8" t="s">
        <v>309</v>
      </c>
      <c r="B67" s="8" t="s">
        <v>310</v>
      </c>
      <c r="C67" s="8" t="s">
        <v>311</v>
      </c>
      <c r="D67" s="8">
        <v>212</v>
      </c>
      <c r="E67" s="8" t="s">
        <v>312</v>
      </c>
    </row>
    <row r="68" spans="1:5" ht="11.25" customHeight="1" x14ac:dyDescent="0.25">
      <c r="A68" s="8" t="s">
        <v>309</v>
      </c>
      <c r="B68" s="8" t="s">
        <v>310</v>
      </c>
      <c r="C68" s="8" t="s">
        <v>311</v>
      </c>
      <c r="D68" s="8">
        <v>213</v>
      </c>
      <c r="E68" s="8" t="s">
        <v>312</v>
      </c>
    </row>
    <row r="69" spans="1:5" ht="11.25" customHeight="1" x14ac:dyDescent="0.25">
      <c r="A69" s="8" t="s">
        <v>309</v>
      </c>
      <c r="B69" s="8" t="s">
        <v>310</v>
      </c>
      <c r="C69" s="8" t="s">
        <v>311</v>
      </c>
      <c r="D69" s="8">
        <v>214</v>
      </c>
      <c r="E69" s="8" t="s">
        <v>312</v>
      </c>
    </row>
    <row r="70" spans="1:5" ht="11.25" customHeight="1" x14ac:dyDescent="0.25">
      <c r="A70" s="8" t="s">
        <v>309</v>
      </c>
      <c r="B70" s="8" t="s">
        <v>310</v>
      </c>
      <c r="C70" s="8" t="s">
        <v>311</v>
      </c>
      <c r="D70" s="8">
        <v>215</v>
      </c>
      <c r="E70" s="8" t="s">
        <v>312</v>
      </c>
    </row>
    <row r="71" spans="1:5" ht="11.25" customHeight="1" x14ac:dyDescent="0.25">
      <c r="A71" s="8" t="s">
        <v>309</v>
      </c>
      <c r="B71" s="8" t="s">
        <v>310</v>
      </c>
      <c r="C71" s="8" t="s">
        <v>311</v>
      </c>
      <c r="D71" s="8">
        <v>216</v>
      </c>
      <c r="E71" s="8" t="s">
        <v>312</v>
      </c>
    </row>
    <row r="72" spans="1:5" ht="11.25" customHeight="1" x14ac:dyDescent="0.25">
      <c r="A72" s="8" t="s">
        <v>309</v>
      </c>
      <c r="C72" s="8" t="s">
        <v>534</v>
      </c>
      <c r="D72" s="8">
        <v>40</v>
      </c>
      <c r="E72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50EF-77D3-4702-B6BD-50A119ECE66A}">
  <dimension ref="A1:AX88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594</v>
      </c>
      <c r="B1" s="36" t="s">
        <v>585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586</v>
      </c>
      <c r="K1" s="36" t="s">
        <v>587</v>
      </c>
      <c r="L1" s="36" t="s">
        <v>588</v>
      </c>
      <c r="M1" s="36" t="s">
        <v>589</v>
      </c>
      <c r="N1" s="36" t="s">
        <v>590</v>
      </c>
      <c r="O1" s="36" t="s">
        <v>466</v>
      </c>
      <c r="P1" s="36" t="s">
        <v>452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474</v>
      </c>
      <c r="C2" s="37" t="s">
        <v>43</v>
      </c>
      <c r="D2" s="37" t="s">
        <v>71</v>
      </c>
      <c r="E2" s="37" t="s">
        <v>44</v>
      </c>
      <c r="F2" s="37" t="s">
        <v>88</v>
      </c>
      <c r="G2" s="37" t="s">
        <v>25</v>
      </c>
      <c r="H2" s="37" t="s">
        <v>25</v>
      </c>
      <c r="I2" s="37" t="s">
        <v>37</v>
      </c>
      <c r="J2" s="37" t="s">
        <v>591</v>
      </c>
      <c r="K2" s="37" t="s">
        <v>592</v>
      </c>
      <c r="L2" s="37" t="s">
        <v>72</v>
      </c>
      <c r="M2" s="37">
        <v>2021</v>
      </c>
      <c r="N2" s="37">
        <v>0</v>
      </c>
      <c r="O2" s="37">
        <v>132.22999999999999</v>
      </c>
      <c r="P2" s="37"/>
    </row>
    <row r="3" spans="1:50" ht="11.25" customHeight="1" x14ac:dyDescent="0.25">
      <c r="A3" s="37">
        <v>2</v>
      </c>
      <c r="B3" s="37" t="s">
        <v>474</v>
      </c>
      <c r="C3" s="37" t="s">
        <v>33</v>
      </c>
      <c r="D3" s="37" t="s">
        <v>71</v>
      </c>
      <c r="E3" s="37" t="s">
        <v>25</v>
      </c>
      <c r="F3" s="37" t="s">
        <v>25</v>
      </c>
      <c r="G3" s="37" t="s">
        <v>25</v>
      </c>
      <c r="H3" s="37" t="s">
        <v>25</v>
      </c>
      <c r="I3" s="37" t="s">
        <v>38</v>
      </c>
      <c r="J3" s="37" t="s">
        <v>591</v>
      </c>
      <c r="K3" s="37" t="s">
        <v>592</v>
      </c>
      <c r="L3" s="37" t="s">
        <v>72</v>
      </c>
      <c r="M3" s="37">
        <v>2021</v>
      </c>
      <c r="N3" s="37">
        <v>0</v>
      </c>
      <c r="O3" s="37">
        <v>150.26</v>
      </c>
      <c r="P3" s="37"/>
    </row>
    <row r="4" spans="1:50" ht="11.25" customHeight="1" x14ac:dyDescent="0.25">
      <c r="A4" s="37">
        <v>3</v>
      </c>
      <c r="B4" s="37" t="s">
        <v>474</v>
      </c>
      <c r="C4" s="37" t="s">
        <v>22</v>
      </c>
      <c r="D4" s="37" t="s">
        <v>86</v>
      </c>
      <c r="E4" s="37" t="s">
        <v>24</v>
      </c>
      <c r="F4" s="37" t="s">
        <v>30</v>
      </c>
      <c r="G4" s="37" t="s">
        <v>25</v>
      </c>
      <c r="H4" s="37" t="s">
        <v>25</v>
      </c>
      <c r="I4" s="37" t="s">
        <v>25</v>
      </c>
      <c r="J4" s="37" t="s">
        <v>591</v>
      </c>
      <c r="K4" s="37" t="s">
        <v>592</v>
      </c>
      <c r="L4" s="37" t="s">
        <v>72</v>
      </c>
      <c r="M4" s="37">
        <v>2021</v>
      </c>
      <c r="N4" s="37">
        <v>0</v>
      </c>
      <c r="O4" s="37">
        <v>90.16</v>
      </c>
      <c r="P4" s="37"/>
    </row>
    <row r="5" spans="1:50" ht="11.25" customHeight="1" x14ac:dyDescent="0.25">
      <c r="A5" s="37">
        <v>4</v>
      </c>
      <c r="B5" s="37" t="s">
        <v>474</v>
      </c>
      <c r="C5" s="37" t="s">
        <v>43</v>
      </c>
      <c r="D5" s="37" t="s">
        <v>85</v>
      </c>
      <c r="E5" s="37" t="s">
        <v>44</v>
      </c>
      <c r="F5" s="37" t="s">
        <v>89</v>
      </c>
      <c r="G5" s="37" t="s">
        <v>25</v>
      </c>
      <c r="H5" s="37" t="s">
        <v>25</v>
      </c>
      <c r="I5" s="37" t="s">
        <v>25</v>
      </c>
      <c r="J5" s="37" t="s">
        <v>591</v>
      </c>
      <c r="K5" s="37" t="s">
        <v>592</v>
      </c>
      <c r="L5" s="37" t="s">
        <v>72</v>
      </c>
      <c r="M5" s="37">
        <v>2021</v>
      </c>
      <c r="N5" s="37">
        <v>0</v>
      </c>
      <c r="O5" s="37">
        <v>126.22</v>
      </c>
      <c r="P5" s="37"/>
    </row>
    <row r="6" spans="1:50" ht="11.25" customHeight="1" x14ac:dyDescent="0.25">
      <c r="A6" s="37">
        <v>5</v>
      </c>
      <c r="B6" s="37" t="s">
        <v>474</v>
      </c>
      <c r="C6" s="37" t="s">
        <v>43</v>
      </c>
      <c r="D6" s="37" t="s">
        <v>71</v>
      </c>
      <c r="E6" s="37" t="s">
        <v>44</v>
      </c>
      <c r="F6" s="37" t="s">
        <v>88</v>
      </c>
      <c r="G6" s="37" t="s">
        <v>25</v>
      </c>
      <c r="H6" s="37" t="s">
        <v>25</v>
      </c>
      <c r="I6" s="37" t="s">
        <v>42</v>
      </c>
      <c r="J6" s="37" t="s">
        <v>591</v>
      </c>
      <c r="K6" s="37" t="s">
        <v>592</v>
      </c>
      <c r="L6" s="37" t="s">
        <v>72</v>
      </c>
      <c r="M6" s="37">
        <v>2021</v>
      </c>
      <c r="N6" s="37">
        <v>0</v>
      </c>
      <c r="O6" s="37">
        <v>132.22999999999999</v>
      </c>
      <c r="P6" s="37"/>
    </row>
    <row r="7" spans="1:50" ht="11.25" customHeight="1" x14ac:dyDescent="0.25">
      <c r="A7" s="37">
        <v>6</v>
      </c>
      <c r="B7" s="37" t="s">
        <v>474</v>
      </c>
      <c r="C7" s="37" t="s">
        <v>33</v>
      </c>
      <c r="D7" s="37" t="s">
        <v>86</v>
      </c>
      <c r="E7" s="37" t="s">
        <v>25</v>
      </c>
      <c r="F7" s="37" t="s">
        <v>25</v>
      </c>
      <c r="G7" s="37" t="s">
        <v>25</v>
      </c>
      <c r="H7" s="37" t="s">
        <v>25</v>
      </c>
      <c r="I7" s="37" t="s">
        <v>25</v>
      </c>
      <c r="J7" s="37" t="s">
        <v>591</v>
      </c>
      <c r="K7" s="37" t="s">
        <v>592</v>
      </c>
      <c r="L7" s="37" t="s">
        <v>72</v>
      </c>
      <c r="M7" s="37">
        <v>2021</v>
      </c>
      <c r="N7" s="37">
        <v>0</v>
      </c>
      <c r="O7" s="37">
        <v>150.26</v>
      </c>
      <c r="P7" s="37"/>
    </row>
    <row r="8" spans="1:50" ht="11.25" customHeight="1" x14ac:dyDescent="0.25">
      <c r="A8" s="37">
        <v>7</v>
      </c>
      <c r="B8" s="37" t="s">
        <v>474</v>
      </c>
      <c r="C8" s="37" t="s">
        <v>22</v>
      </c>
      <c r="D8" s="37" t="s">
        <v>86</v>
      </c>
      <c r="E8" s="37" t="s">
        <v>24</v>
      </c>
      <c r="F8" s="37" t="s">
        <v>32</v>
      </c>
      <c r="G8" s="37" t="s">
        <v>25</v>
      </c>
      <c r="H8" s="37" t="s">
        <v>25</v>
      </c>
      <c r="I8" s="37" t="s">
        <v>25</v>
      </c>
      <c r="J8" s="37" t="s">
        <v>591</v>
      </c>
      <c r="K8" s="37" t="s">
        <v>592</v>
      </c>
      <c r="L8" s="37" t="s">
        <v>72</v>
      </c>
      <c r="M8" s="37">
        <v>2021</v>
      </c>
      <c r="N8" s="37">
        <v>0</v>
      </c>
      <c r="O8" s="37">
        <v>150.26</v>
      </c>
      <c r="P8" s="37"/>
    </row>
    <row r="9" spans="1:50" ht="11.25" customHeight="1" x14ac:dyDescent="0.25">
      <c r="A9" s="37">
        <v>8</v>
      </c>
      <c r="B9" s="37" t="s">
        <v>474</v>
      </c>
      <c r="C9" s="37" t="s">
        <v>43</v>
      </c>
      <c r="D9" s="37" t="s">
        <v>86</v>
      </c>
      <c r="E9" s="37" t="s">
        <v>44</v>
      </c>
      <c r="F9" s="37" t="s">
        <v>25</v>
      </c>
      <c r="G9" s="37" t="s">
        <v>25</v>
      </c>
      <c r="H9" s="37" t="s">
        <v>25</v>
      </c>
      <c r="I9" s="37" t="s">
        <v>25</v>
      </c>
      <c r="J9" s="37" t="s">
        <v>591</v>
      </c>
      <c r="K9" s="37" t="s">
        <v>592</v>
      </c>
      <c r="L9" s="37" t="s">
        <v>72</v>
      </c>
      <c r="M9" s="37">
        <v>2021</v>
      </c>
      <c r="N9" s="37">
        <v>0</v>
      </c>
      <c r="O9" s="37">
        <v>132.22999999999999</v>
      </c>
      <c r="P9" s="37"/>
    </row>
    <row r="10" spans="1:50" ht="11.25" customHeight="1" x14ac:dyDescent="0.25">
      <c r="A10" s="37">
        <v>9</v>
      </c>
      <c r="B10" s="37" t="s">
        <v>474</v>
      </c>
      <c r="C10" s="37" t="s">
        <v>43</v>
      </c>
      <c r="D10" s="37" t="s">
        <v>71</v>
      </c>
      <c r="E10" s="37" t="s">
        <v>44</v>
      </c>
      <c r="F10" s="37" t="s">
        <v>89</v>
      </c>
      <c r="G10" s="37" t="s">
        <v>25</v>
      </c>
      <c r="H10" s="37" t="s">
        <v>25</v>
      </c>
      <c r="I10" s="37" t="s">
        <v>38</v>
      </c>
      <c r="J10" s="37" t="s">
        <v>591</v>
      </c>
      <c r="K10" s="37" t="s">
        <v>592</v>
      </c>
      <c r="L10" s="37" t="s">
        <v>72</v>
      </c>
      <c r="M10" s="37">
        <v>2021</v>
      </c>
      <c r="N10" s="37">
        <v>0</v>
      </c>
      <c r="O10" s="37">
        <v>126.22</v>
      </c>
      <c r="P10" s="37"/>
    </row>
    <row r="11" spans="1:50" ht="11.25" customHeight="1" x14ac:dyDescent="0.25">
      <c r="A11" s="37">
        <v>10</v>
      </c>
      <c r="B11" s="37" t="s">
        <v>474</v>
      </c>
      <c r="C11" s="37" t="s">
        <v>33</v>
      </c>
      <c r="D11" s="37" t="s">
        <v>85</v>
      </c>
      <c r="E11" s="37" t="s">
        <v>25</v>
      </c>
      <c r="F11" s="37" t="s">
        <v>25</v>
      </c>
      <c r="G11" s="37" t="s">
        <v>25</v>
      </c>
      <c r="H11" s="37" t="s">
        <v>25</v>
      </c>
      <c r="I11" s="37" t="s">
        <v>25</v>
      </c>
      <c r="J11" s="37" t="s">
        <v>591</v>
      </c>
      <c r="K11" s="37" t="s">
        <v>592</v>
      </c>
      <c r="L11" s="37" t="s">
        <v>72</v>
      </c>
      <c r="M11" s="37">
        <v>2021</v>
      </c>
      <c r="N11" s="37">
        <v>0</v>
      </c>
      <c r="O11" s="37">
        <v>150.26</v>
      </c>
      <c r="P11" s="37"/>
    </row>
    <row r="12" spans="1:50" ht="11.25" customHeight="1" x14ac:dyDescent="0.25">
      <c r="A12" s="37">
        <v>11</v>
      </c>
      <c r="B12" s="37" t="s">
        <v>474</v>
      </c>
      <c r="C12" s="37" t="s">
        <v>43</v>
      </c>
      <c r="D12" s="37" t="s">
        <v>71</v>
      </c>
      <c r="E12" s="37" t="s">
        <v>44</v>
      </c>
      <c r="F12" s="37" t="s">
        <v>88</v>
      </c>
      <c r="G12" s="37" t="s">
        <v>25</v>
      </c>
      <c r="H12" s="37" t="s">
        <v>25</v>
      </c>
      <c r="I12" s="37" t="s">
        <v>38</v>
      </c>
      <c r="J12" s="37" t="s">
        <v>591</v>
      </c>
      <c r="K12" s="37" t="s">
        <v>592</v>
      </c>
      <c r="L12" s="37" t="s">
        <v>72</v>
      </c>
      <c r="M12" s="37">
        <v>2021</v>
      </c>
      <c r="N12" s="37">
        <v>0</v>
      </c>
      <c r="O12" s="37">
        <v>132.22999999999999</v>
      </c>
      <c r="P12" s="37"/>
    </row>
    <row r="13" spans="1:50" ht="11.25" customHeight="1" x14ac:dyDescent="0.25">
      <c r="A13" s="37">
        <v>12</v>
      </c>
      <c r="B13" s="37" t="s">
        <v>474</v>
      </c>
      <c r="C13" s="37" t="s">
        <v>46</v>
      </c>
      <c r="D13" s="37" t="s">
        <v>85</v>
      </c>
      <c r="E13" s="37" t="s">
        <v>47</v>
      </c>
      <c r="F13" s="37" t="s">
        <v>48</v>
      </c>
      <c r="G13" s="37" t="s">
        <v>25</v>
      </c>
      <c r="H13" s="37" t="s">
        <v>25</v>
      </c>
      <c r="I13" s="37" t="s">
        <v>25</v>
      </c>
      <c r="J13" s="37" t="s">
        <v>591</v>
      </c>
      <c r="K13" s="37" t="s">
        <v>592</v>
      </c>
      <c r="L13" s="37" t="s">
        <v>72</v>
      </c>
      <c r="M13" s="37">
        <v>2021</v>
      </c>
      <c r="N13" s="37">
        <v>0</v>
      </c>
      <c r="O13" s="37">
        <v>82.64</v>
      </c>
      <c r="P13" s="37"/>
    </row>
    <row r="14" spans="1:50" ht="11.25" customHeight="1" x14ac:dyDescent="0.25">
      <c r="A14" s="37">
        <v>13</v>
      </c>
      <c r="B14" s="37" t="s">
        <v>474</v>
      </c>
      <c r="C14" s="37" t="s">
        <v>43</v>
      </c>
      <c r="D14" s="37" t="s">
        <v>85</v>
      </c>
      <c r="E14" s="37" t="s">
        <v>44</v>
      </c>
      <c r="F14" s="37" t="s">
        <v>88</v>
      </c>
      <c r="G14" s="37" t="s">
        <v>25</v>
      </c>
      <c r="H14" s="37" t="s">
        <v>25</v>
      </c>
      <c r="I14" s="37" t="s">
        <v>25</v>
      </c>
      <c r="J14" s="37" t="s">
        <v>591</v>
      </c>
      <c r="K14" s="37" t="s">
        <v>592</v>
      </c>
      <c r="L14" s="37" t="s">
        <v>72</v>
      </c>
      <c r="M14" s="37">
        <v>2021</v>
      </c>
      <c r="N14" s="37">
        <v>0</v>
      </c>
      <c r="O14" s="37">
        <v>132.22999999999999</v>
      </c>
      <c r="P14" s="37"/>
    </row>
    <row r="15" spans="1:50" ht="11.25" customHeight="1" x14ac:dyDescent="0.25">
      <c r="A15" s="37">
        <v>14</v>
      </c>
      <c r="B15" s="37" t="s">
        <v>474</v>
      </c>
      <c r="C15" s="37" t="s">
        <v>43</v>
      </c>
      <c r="D15" s="37" t="s">
        <v>71</v>
      </c>
      <c r="E15" s="37" t="s">
        <v>44</v>
      </c>
      <c r="F15" s="37" t="s">
        <v>89</v>
      </c>
      <c r="G15" s="37" t="s">
        <v>25</v>
      </c>
      <c r="H15" s="37" t="s">
        <v>25</v>
      </c>
      <c r="I15" s="37" t="s">
        <v>37</v>
      </c>
      <c r="J15" s="37" t="s">
        <v>591</v>
      </c>
      <c r="K15" s="37" t="s">
        <v>592</v>
      </c>
      <c r="L15" s="37" t="s">
        <v>72</v>
      </c>
      <c r="M15" s="37">
        <v>2021</v>
      </c>
      <c r="N15" s="37">
        <v>0</v>
      </c>
      <c r="O15" s="37">
        <v>126.22</v>
      </c>
      <c r="P15" s="37"/>
    </row>
    <row r="16" spans="1:50" ht="11.25" customHeight="1" x14ac:dyDescent="0.25">
      <c r="A16" s="37">
        <v>15</v>
      </c>
      <c r="B16" s="37" t="s">
        <v>474</v>
      </c>
      <c r="C16" s="37" t="s">
        <v>46</v>
      </c>
      <c r="D16" s="37" t="s">
        <v>85</v>
      </c>
      <c r="E16" s="37" t="s">
        <v>47</v>
      </c>
      <c r="F16" s="37" t="s">
        <v>90</v>
      </c>
      <c r="G16" s="37" t="s">
        <v>25</v>
      </c>
      <c r="H16" s="37" t="s">
        <v>25</v>
      </c>
      <c r="I16" s="37" t="s">
        <v>25</v>
      </c>
      <c r="J16" s="37" t="s">
        <v>591</v>
      </c>
      <c r="K16" s="37" t="s">
        <v>592</v>
      </c>
      <c r="L16" s="37" t="s">
        <v>72</v>
      </c>
      <c r="M16" s="37">
        <v>2021</v>
      </c>
      <c r="N16" s="37">
        <v>0</v>
      </c>
      <c r="O16" s="37">
        <v>90.16</v>
      </c>
      <c r="P16" s="37"/>
    </row>
    <row r="17" spans="1:16" ht="11.25" customHeight="1" x14ac:dyDescent="0.25">
      <c r="A17" s="37">
        <v>16</v>
      </c>
      <c r="B17" s="37" t="s">
        <v>474</v>
      </c>
      <c r="C17" s="37" t="s">
        <v>22</v>
      </c>
      <c r="D17" s="37" t="s">
        <v>86</v>
      </c>
      <c r="E17" s="37" t="s">
        <v>24</v>
      </c>
      <c r="F17" s="37" t="s">
        <v>31</v>
      </c>
      <c r="G17" s="37" t="s">
        <v>25</v>
      </c>
      <c r="H17" s="37" t="s">
        <v>25</v>
      </c>
      <c r="I17" s="37" t="s">
        <v>25</v>
      </c>
      <c r="J17" s="37" t="s">
        <v>591</v>
      </c>
      <c r="K17" s="37" t="s">
        <v>592</v>
      </c>
      <c r="L17" s="37" t="s">
        <v>72</v>
      </c>
      <c r="M17" s="37">
        <v>2021</v>
      </c>
      <c r="N17" s="37">
        <v>0</v>
      </c>
      <c r="O17" s="37">
        <v>135.24</v>
      </c>
      <c r="P17" s="37"/>
    </row>
    <row r="18" spans="1:16" ht="11.25" customHeight="1" x14ac:dyDescent="0.25">
      <c r="A18" s="37">
        <v>17</v>
      </c>
      <c r="B18" s="37" t="s">
        <v>474</v>
      </c>
      <c r="C18" s="37" t="s">
        <v>43</v>
      </c>
      <c r="D18" s="37" t="s">
        <v>71</v>
      </c>
      <c r="E18" s="37" t="s">
        <v>44</v>
      </c>
      <c r="F18" s="37" t="s">
        <v>25</v>
      </c>
      <c r="G18" s="37" t="s">
        <v>25</v>
      </c>
      <c r="H18" s="37" t="s">
        <v>25</v>
      </c>
      <c r="I18" s="37" t="s">
        <v>37</v>
      </c>
      <c r="J18" s="37" t="s">
        <v>591</v>
      </c>
      <c r="K18" s="37" t="s">
        <v>592</v>
      </c>
      <c r="L18" s="37" t="s">
        <v>72</v>
      </c>
      <c r="M18" s="37">
        <v>2021</v>
      </c>
      <c r="N18" s="37">
        <v>0</v>
      </c>
      <c r="O18" s="37">
        <v>132.22999999999999</v>
      </c>
      <c r="P18" s="37"/>
    </row>
    <row r="19" spans="1:16" ht="11.25" customHeight="1" x14ac:dyDescent="0.25">
      <c r="A19" s="37">
        <v>18</v>
      </c>
      <c r="B19" s="37" t="s">
        <v>474</v>
      </c>
      <c r="C19" s="37" t="s">
        <v>43</v>
      </c>
      <c r="D19" s="37" t="s">
        <v>86</v>
      </c>
      <c r="E19" s="37" t="s">
        <v>44</v>
      </c>
      <c r="F19" s="37" t="s">
        <v>89</v>
      </c>
      <c r="G19" s="37" t="s">
        <v>25</v>
      </c>
      <c r="H19" s="37" t="s">
        <v>25</v>
      </c>
      <c r="I19" s="37" t="s">
        <v>25</v>
      </c>
      <c r="J19" s="37" t="s">
        <v>591</v>
      </c>
      <c r="K19" s="37" t="s">
        <v>592</v>
      </c>
      <c r="L19" s="37" t="s">
        <v>72</v>
      </c>
      <c r="M19" s="37">
        <v>2021</v>
      </c>
      <c r="N19" s="37">
        <v>0</v>
      </c>
      <c r="O19" s="37">
        <v>126.22</v>
      </c>
      <c r="P19" s="37"/>
    </row>
    <row r="20" spans="1:16" ht="11.25" customHeight="1" x14ac:dyDescent="0.25">
      <c r="A20" s="37">
        <v>19</v>
      </c>
      <c r="B20" s="37" t="s">
        <v>474</v>
      </c>
      <c r="C20" s="37" t="s">
        <v>43</v>
      </c>
      <c r="D20" s="37" t="s">
        <v>71</v>
      </c>
      <c r="E20" s="37" t="s">
        <v>44</v>
      </c>
      <c r="F20" s="37" t="s">
        <v>25</v>
      </c>
      <c r="G20" s="37" t="s">
        <v>25</v>
      </c>
      <c r="H20" s="37" t="s">
        <v>25</v>
      </c>
      <c r="I20" s="37" t="s">
        <v>42</v>
      </c>
      <c r="J20" s="37" t="s">
        <v>591</v>
      </c>
      <c r="K20" s="37" t="s">
        <v>592</v>
      </c>
      <c r="L20" s="37" t="s">
        <v>72</v>
      </c>
      <c r="M20" s="37">
        <v>2021</v>
      </c>
      <c r="N20" s="37">
        <v>0</v>
      </c>
      <c r="O20" s="37">
        <v>132.22999999999999</v>
      </c>
      <c r="P20" s="37"/>
    </row>
    <row r="21" spans="1:16" ht="11.25" customHeight="1" x14ac:dyDescent="0.25">
      <c r="A21" s="37">
        <v>20</v>
      </c>
      <c r="B21" s="37" t="s">
        <v>474</v>
      </c>
      <c r="C21" s="37" t="s">
        <v>43</v>
      </c>
      <c r="D21" s="37" t="s">
        <v>85</v>
      </c>
      <c r="E21" s="37" t="s">
        <v>44</v>
      </c>
      <c r="F21" s="37" t="s">
        <v>25</v>
      </c>
      <c r="G21" s="37" t="s">
        <v>25</v>
      </c>
      <c r="H21" s="37" t="s">
        <v>25</v>
      </c>
      <c r="I21" s="37" t="s">
        <v>25</v>
      </c>
      <c r="J21" s="37" t="s">
        <v>591</v>
      </c>
      <c r="K21" s="37" t="s">
        <v>592</v>
      </c>
      <c r="L21" s="37" t="s">
        <v>72</v>
      </c>
      <c r="M21" s="37">
        <v>2021</v>
      </c>
      <c r="N21" s="37">
        <v>0</v>
      </c>
      <c r="O21" s="37">
        <v>132.22999999999999</v>
      </c>
      <c r="P21" s="37"/>
    </row>
    <row r="22" spans="1:16" ht="11.25" customHeight="1" x14ac:dyDescent="0.25">
      <c r="A22" s="37">
        <v>21</v>
      </c>
      <c r="B22" s="37" t="s">
        <v>474</v>
      </c>
      <c r="C22" s="37" t="s">
        <v>33</v>
      </c>
      <c r="D22" s="37" t="s">
        <v>71</v>
      </c>
      <c r="E22" s="37" t="s">
        <v>25</v>
      </c>
      <c r="F22" s="37" t="s">
        <v>25</v>
      </c>
      <c r="G22" s="37" t="s">
        <v>25</v>
      </c>
      <c r="H22" s="37" t="s">
        <v>25</v>
      </c>
      <c r="I22" s="37" t="s">
        <v>42</v>
      </c>
      <c r="J22" s="37" t="s">
        <v>591</v>
      </c>
      <c r="K22" s="37" t="s">
        <v>592</v>
      </c>
      <c r="L22" s="37" t="s">
        <v>72</v>
      </c>
      <c r="M22" s="37">
        <v>2021</v>
      </c>
      <c r="N22" s="37">
        <v>0</v>
      </c>
      <c r="O22" s="37">
        <v>150.26</v>
      </c>
      <c r="P22" s="37"/>
    </row>
    <row r="23" spans="1:16" ht="11.25" customHeight="1" x14ac:dyDescent="0.25">
      <c r="A23" s="37">
        <v>22</v>
      </c>
      <c r="B23" s="37" t="s">
        <v>474</v>
      </c>
      <c r="C23" s="37" t="s">
        <v>22</v>
      </c>
      <c r="D23" s="37" t="s">
        <v>86</v>
      </c>
      <c r="E23" s="37" t="s">
        <v>24</v>
      </c>
      <c r="F23" s="37" t="s">
        <v>29</v>
      </c>
      <c r="G23" s="37" t="s">
        <v>25</v>
      </c>
      <c r="H23" s="37" t="s">
        <v>25</v>
      </c>
      <c r="I23" s="37" t="s">
        <v>25</v>
      </c>
      <c r="J23" s="37" t="s">
        <v>591</v>
      </c>
      <c r="K23" s="37" t="s">
        <v>592</v>
      </c>
      <c r="L23" s="37" t="s">
        <v>72</v>
      </c>
      <c r="M23" s="37">
        <v>2021</v>
      </c>
      <c r="N23" s="37">
        <v>0</v>
      </c>
      <c r="O23" s="37">
        <v>52.59</v>
      </c>
      <c r="P23" s="37"/>
    </row>
    <row r="24" spans="1:16" ht="11.25" customHeight="1" x14ac:dyDescent="0.25">
      <c r="A24" s="37">
        <v>23</v>
      </c>
      <c r="B24" s="37" t="s">
        <v>474</v>
      </c>
      <c r="C24" s="37" t="s">
        <v>43</v>
      </c>
      <c r="D24" s="37" t="s">
        <v>71</v>
      </c>
      <c r="E24" s="37" t="s">
        <v>44</v>
      </c>
      <c r="F24" s="37" t="s">
        <v>89</v>
      </c>
      <c r="G24" s="37" t="s">
        <v>25</v>
      </c>
      <c r="H24" s="37" t="s">
        <v>25</v>
      </c>
      <c r="I24" s="37" t="s">
        <v>42</v>
      </c>
      <c r="J24" s="37" t="s">
        <v>591</v>
      </c>
      <c r="K24" s="37" t="s">
        <v>592</v>
      </c>
      <c r="L24" s="37" t="s">
        <v>72</v>
      </c>
      <c r="M24" s="37">
        <v>2021</v>
      </c>
      <c r="N24" s="37">
        <v>0</v>
      </c>
      <c r="O24" s="37">
        <v>126.22</v>
      </c>
      <c r="P24" s="37"/>
    </row>
    <row r="25" spans="1:16" ht="11.25" customHeight="1" x14ac:dyDescent="0.25">
      <c r="A25" s="37">
        <v>24</v>
      </c>
      <c r="B25" s="37" t="s">
        <v>474</v>
      </c>
      <c r="C25" s="37" t="s">
        <v>43</v>
      </c>
      <c r="D25" s="37" t="s">
        <v>71</v>
      </c>
      <c r="E25" s="37" t="s">
        <v>44</v>
      </c>
      <c r="F25" s="37" t="s">
        <v>25</v>
      </c>
      <c r="G25" s="37" t="s">
        <v>25</v>
      </c>
      <c r="H25" s="37" t="s">
        <v>25</v>
      </c>
      <c r="I25" s="37" t="s">
        <v>38</v>
      </c>
      <c r="J25" s="37" t="s">
        <v>591</v>
      </c>
      <c r="K25" s="37" t="s">
        <v>592</v>
      </c>
      <c r="L25" s="37" t="s">
        <v>72</v>
      </c>
      <c r="M25" s="37">
        <v>2021</v>
      </c>
      <c r="N25" s="37">
        <v>0</v>
      </c>
      <c r="O25" s="37">
        <v>132.22999999999999</v>
      </c>
      <c r="P25" s="37"/>
    </row>
    <row r="26" spans="1:16" ht="11.25" customHeight="1" x14ac:dyDescent="0.25">
      <c r="A26" s="37">
        <v>25</v>
      </c>
      <c r="B26" s="37" t="s">
        <v>474</v>
      </c>
      <c r="C26" s="37" t="s">
        <v>33</v>
      </c>
      <c r="D26" s="37" t="s">
        <v>71</v>
      </c>
      <c r="E26" s="37" t="s">
        <v>25</v>
      </c>
      <c r="F26" s="37" t="s">
        <v>25</v>
      </c>
      <c r="G26" s="37" t="s">
        <v>25</v>
      </c>
      <c r="H26" s="37" t="s">
        <v>25</v>
      </c>
      <c r="I26" s="37" t="s">
        <v>37</v>
      </c>
      <c r="J26" s="37" t="s">
        <v>591</v>
      </c>
      <c r="K26" s="37" t="s">
        <v>592</v>
      </c>
      <c r="L26" s="37" t="s">
        <v>72</v>
      </c>
      <c r="M26" s="37">
        <v>2021</v>
      </c>
      <c r="N26" s="37">
        <v>0</v>
      </c>
      <c r="O26" s="37">
        <v>150.26</v>
      </c>
      <c r="P26" s="37"/>
    </row>
    <row r="27" spans="1:16" ht="11.25" customHeight="1" x14ac:dyDescent="0.25">
      <c r="A27" s="37">
        <v>26</v>
      </c>
      <c r="B27" s="37" t="s">
        <v>474</v>
      </c>
      <c r="C27" s="37" t="s">
        <v>43</v>
      </c>
      <c r="D27" s="37" t="s">
        <v>86</v>
      </c>
      <c r="E27" s="37" t="s">
        <v>44</v>
      </c>
      <c r="F27" s="37" t="s">
        <v>88</v>
      </c>
      <c r="G27" s="37" t="s">
        <v>25</v>
      </c>
      <c r="H27" s="37" t="s">
        <v>25</v>
      </c>
      <c r="I27" s="37" t="s">
        <v>25</v>
      </c>
      <c r="J27" s="37" t="s">
        <v>591</v>
      </c>
      <c r="K27" s="37" t="s">
        <v>592</v>
      </c>
      <c r="L27" s="37" t="s">
        <v>72</v>
      </c>
      <c r="M27" s="37">
        <v>2021</v>
      </c>
      <c r="N27" s="37">
        <v>0</v>
      </c>
      <c r="O27" s="37">
        <v>132.22999999999999</v>
      </c>
      <c r="P27" s="37"/>
    </row>
    <row r="28" spans="1:16" ht="11.25" customHeight="1" x14ac:dyDescent="0.25">
      <c r="A28" s="37">
        <v>27</v>
      </c>
      <c r="B28" s="37" t="s">
        <v>474</v>
      </c>
      <c r="C28" s="37" t="s">
        <v>22</v>
      </c>
      <c r="D28" s="37" t="s">
        <v>86</v>
      </c>
      <c r="E28" s="37" t="s">
        <v>24</v>
      </c>
      <c r="F28" s="37" t="s">
        <v>24</v>
      </c>
      <c r="G28" s="37" t="s">
        <v>25</v>
      </c>
      <c r="H28" s="37" t="s">
        <v>25</v>
      </c>
      <c r="I28" s="37" t="s">
        <v>25</v>
      </c>
      <c r="J28" s="37" t="s">
        <v>591</v>
      </c>
      <c r="K28" s="37" t="s">
        <v>592</v>
      </c>
      <c r="L28" s="37" t="s">
        <v>72</v>
      </c>
      <c r="M28" s="37">
        <v>2021</v>
      </c>
      <c r="N28" s="37">
        <v>0</v>
      </c>
      <c r="O28" s="37">
        <v>150.26</v>
      </c>
      <c r="P28" s="37"/>
    </row>
    <row r="29" spans="1:16" ht="11.25" customHeight="1" x14ac:dyDescent="0.25">
      <c r="A29" s="37">
        <v>28</v>
      </c>
      <c r="B29" s="37" t="s">
        <v>446</v>
      </c>
      <c r="C29" s="37" t="s">
        <v>35</v>
      </c>
      <c r="D29" s="37" t="s">
        <v>36</v>
      </c>
      <c r="E29" s="37" t="s">
        <v>25</v>
      </c>
      <c r="F29" s="37" t="s">
        <v>25</v>
      </c>
      <c r="G29" s="37" t="s">
        <v>25</v>
      </c>
      <c r="H29" s="37" t="s">
        <v>25</v>
      </c>
      <c r="I29" s="37" t="s">
        <v>38</v>
      </c>
      <c r="J29" s="37" t="s">
        <v>593</v>
      </c>
      <c r="K29" s="37" t="s">
        <v>592</v>
      </c>
      <c r="L29" s="37" t="s">
        <v>75</v>
      </c>
      <c r="M29" s="37">
        <v>2021</v>
      </c>
      <c r="N29" s="37">
        <v>0</v>
      </c>
      <c r="O29" s="37">
        <v>34.479999999999997</v>
      </c>
      <c r="P29" s="37">
        <v>0</v>
      </c>
    </row>
    <row r="30" spans="1:16" ht="11.25" customHeight="1" x14ac:dyDescent="0.25">
      <c r="A30" s="37">
        <v>29</v>
      </c>
      <c r="B30" s="37" t="s">
        <v>446</v>
      </c>
      <c r="C30" s="37" t="s">
        <v>35</v>
      </c>
      <c r="D30" s="37" t="s">
        <v>36</v>
      </c>
      <c r="E30" s="37" t="s">
        <v>25</v>
      </c>
      <c r="F30" s="37" t="s">
        <v>25</v>
      </c>
      <c r="G30" s="37" t="s">
        <v>25</v>
      </c>
      <c r="H30" s="37" t="s">
        <v>25</v>
      </c>
      <c r="I30" s="37" t="s">
        <v>25</v>
      </c>
      <c r="J30" s="37" t="s">
        <v>591</v>
      </c>
      <c r="K30" s="37" t="s">
        <v>592</v>
      </c>
      <c r="L30" s="37" t="s">
        <v>72</v>
      </c>
      <c r="M30" s="37">
        <v>2021</v>
      </c>
      <c r="N30" s="37">
        <v>0</v>
      </c>
      <c r="O30" s="37">
        <v>60.38</v>
      </c>
      <c r="P30" s="37">
        <v>45.212051348574001</v>
      </c>
    </row>
    <row r="31" spans="1:16" ht="11.25" customHeight="1" x14ac:dyDescent="0.25">
      <c r="A31" s="37">
        <v>30</v>
      </c>
      <c r="B31" s="37" t="s">
        <v>446</v>
      </c>
      <c r="C31" s="37" t="s">
        <v>22</v>
      </c>
      <c r="D31" s="37" t="s">
        <v>41</v>
      </c>
      <c r="E31" s="37" t="s">
        <v>24</v>
      </c>
      <c r="F31" s="37" t="s">
        <v>24</v>
      </c>
      <c r="G31" s="37" t="s">
        <v>25</v>
      </c>
      <c r="H31" s="37" t="s">
        <v>25</v>
      </c>
      <c r="I31" s="37" t="s">
        <v>38</v>
      </c>
      <c r="J31" s="37" t="s">
        <v>591</v>
      </c>
      <c r="K31" s="37" t="s">
        <v>592</v>
      </c>
      <c r="L31" s="37" t="s">
        <v>72</v>
      </c>
      <c r="M31" s="37">
        <v>2021</v>
      </c>
      <c r="N31" s="37">
        <v>0</v>
      </c>
      <c r="O31" s="37">
        <v>306.88</v>
      </c>
      <c r="P31" s="37">
        <v>51.9678751133034</v>
      </c>
    </row>
    <row r="32" spans="1:16" ht="11.25" customHeight="1" x14ac:dyDescent="0.25">
      <c r="A32" s="37">
        <v>31</v>
      </c>
      <c r="B32" s="37" t="s">
        <v>446</v>
      </c>
      <c r="C32" s="37" t="s">
        <v>35</v>
      </c>
      <c r="D32" s="37" t="s">
        <v>23</v>
      </c>
      <c r="E32" s="37" t="s">
        <v>25</v>
      </c>
      <c r="F32" s="37" t="s">
        <v>25</v>
      </c>
      <c r="G32" s="37" t="s">
        <v>25</v>
      </c>
      <c r="H32" s="37" t="s">
        <v>25</v>
      </c>
      <c r="I32" s="37" t="s">
        <v>25</v>
      </c>
      <c r="J32" s="37" t="s">
        <v>591</v>
      </c>
      <c r="K32" s="37" t="s">
        <v>592</v>
      </c>
      <c r="L32" s="37" t="s">
        <v>72</v>
      </c>
      <c r="M32" s="37">
        <v>2021</v>
      </c>
      <c r="N32" s="37">
        <v>0</v>
      </c>
      <c r="O32" s="37">
        <v>53.88</v>
      </c>
      <c r="P32" s="37">
        <v>45.212051348574001</v>
      </c>
    </row>
    <row r="33" spans="1:16" ht="11.25" customHeight="1" x14ac:dyDescent="0.25">
      <c r="A33" s="37">
        <v>32</v>
      </c>
      <c r="B33" s="37" t="s">
        <v>446</v>
      </c>
      <c r="C33" s="37" t="s">
        <v>22</v>
      </c>
      <c r="D33" s="37" t="s">
        <v>87</v>
      </c>
      <c r="E33" s="37" t="s">
        <v>24</v>
      </c>
      <c r="F33" s="37" t="s">
        <v>30</v>
      </c>
      <c r="G33" s="37" t="s">
        <v>25</v>
      </c>
      <c r="H33" s="37" t="s">
        <v>25</v>
      </c>
      <c r="I33" s="37" t="s">
        <v>25</v>
      </c>
      <c r="J33" s="37" t="s">
        <v>591</v>
      </c>
      <c r="K33" s="37" t="s">
        <v>592</v>
      </c>
      <c r="L33" s="37" t="s">
        <v>72</v>
      </c>
      <c r="M33" s="37">
        <v>2021</v>
      </c>
      <c r="N33" s="37">
        <v>0</v>
      </c>
      <c r="O33" s="37">
        <v>264.77</v>
      </c>
      <c r="P33" s="37">
        <v>0</v>
      </c>
    </row>
    <row r="34" spans="1:16" ht="11.25" customHeight="1" x14ac:dyDescent="0.25">
      <c r="A34" s="37">
        <v>33</v>
      </c>
      <c r="B34" s="37" t="s">
        <v>446</v>
      </c>
      <c r="C34" s="37" t="s">
        <v>35</v>
      </c>
      <c r="D34" s="37" t="s">
        <v>36</v>
      </c>
      <c r="E34" s="37" t="s">
        <v>25</v>
      </c>
      <c r="F34" s="37" t="s">
        <v>25</v>
      </c>
      <c r="G34" s="37" t="s">
        <v>79</v>
      </c>
      <c r="H34" s="37" t="s">
        <v>25</v>
      </c>
      <c r="I34" s="37" t="s">
        <v>25</v>
      </c>
      <c r="J34" s="37" t="s">
        <v>591</v>
      </c>
      <c r="K34" s="37" t="s">
        <v>592</v>
      </c>
      <c r="L34" s="37" t="s">
        <v>72</v>
      </c>
      <c r="M34" s="37">
        <v>2021</v>
      </c>
      <c r="N34" s="37">
        <v>0</v>
      </c>
      <c r="O34" s="37">
        <v>6.93</v>
      </c>
      <c r="P34" s="37">
        <v>0</v>
      </c>
    </row>
    <row r="35" spans="1:16" ht="11.25" customHeight="1" x14ac:dyDescent="0.25">
      <c r="A35" s="37">
        <v>34</v>
      </c>
      <c r="B35" s="37" t="s">
        <v>446</v>
      </c>
      <c r="C35" s="37" t="s">
        <v>22</v>
      </c>
      <c r="D35" s="37" t="s">
        <v>23</v>
      </c>
      <c r="E35" s="37" t="s">
        <v>24</v>
      </c>
      <c r="F35" s="37" t="s">
        <v>24</v>
      </c>
      <c r="G35" s="37" t="s">
        <v>25</v>
      </c>
      <c r="H35" s="37" t="s">
        <v>25</v>
      </c>
      <c r="I35" s="37" t="s">
        <v>25</v>
      </c>
      <c r="J35" s="37" t="s">
        <v>591</v>
      </c>
      <c r="K35" s="37" t="s">
        <v>592</v>
      </c>
      <c r="L35" s="37" t="s">
        <v>72</v>
      </c>
      <c r="M35" s="37">
        <v>2021</v>
      </c>
      <c r="N35" s="37">
        <v>0</v>
      </c>
      <c r="O35" s="37">
        <v>501.48</v>
      </c>
      <c r="P35" s="37">
        <v>51.9678751133034</v>
      </c>
    </row>
    <row r="36" spans="1:16" ht="11.25" customHeight="1" x14ac:dyDescent="0.25">
      <c r="A36" s="37">
        <v>35</v>
      </c>
      <c r="B36" s="37" t="s">
        <v>446</v>
      </c>
      <c r="C36" s="37" t="s">
        <v>35</v>
      </c>
      <c r="D36" s="37" t="s">
        <v>39</v>
      </c>
      <c r="E36" s="37" t="s">
        <v>25</v>
      </c>
      <c r="F36" s="37" t="s">
        <v>25</v>
      </c>
      <c r="G36" s="37" t="s">
        <v>25</v>
      </c>
      <c r="H36" s="37" t="s">
        <v>25</v>
      </c>
      <c r="I36" s="37" t="s">
        <v>37</v>
      </c>
      <c r="J36" s="37" t="s">
        <v>591</v>
      </c>
      <c r="K36" s="37" t="s">
        <v>592</v>
      </c>
      <c r="L36" s="37" t="s">
        <v>72</v>
      </c>
      <c r="M36" s="37">
        <v>2021</v>
      </c>
      <c r="N36" s="37">
        <v>0</v>
      </c>
      <c r="O36" s="37">
        <v>2676.16</v>
      </c>
      <c r="P36" s="37">
        <v>45.212051348574001</v>
      </c>
    </row>
    <row r="37" spans="1:16" ht="11.25" customHeight="1" x14ac:dyDescent="0.25">
      <c r="A37" s="37">
        <v>36</v>
      </c>
      <c r="B37" s="37" t="s">
        <v>446</v>
      </c>
      <c r="C37" s="37" t="s">
        <v>22</v>
      </c>
      <c r="D37" s="37" t="s">
        <v>23</v>
      </c>
      <c r="E37" s="37" t="s">
        <v>24</v>
      </c>
      <c r="F37" s="37" t="s">
        <v>31</v>
      </c>
      <c r="G37" s="37" t="s">
        <v>25</v>
      </c>
      <c r="H37" s="37" t="s">
        <v>25</v>
      </c>
      <c r="I37" s="37" t="s">
        <v>25</v>
      </c>
      <c r="J37" s="37" t="s">
        <v>591</v>
      </c>
      <c r="K37" s="37" t="s">
        <v>592</v>
      </c>
      <c r="L37" s="37" t="s">
        <v>72</v>
      </c>
      <c r="M37" s="37">
        <v>2021</v>
      </c>
      <c r="N37" s="37">
        <v>0</v>
      </c>
      <c r="O37" s="37">
        <v>397.15</v>
      </c>
      <c r="P37" s="37">
        <v>0</v>
      </c>
    </row>
    <row r="38" spans="1:16" ht="11.25" customHeight="1" x14ac:dyDescent="0.25">
      <c r="A38" s="37">
        <v>37</v>
      </c>
      <c r="B38" s="37" t="s">
        <v>446</v>
      </c>
      <c r="C38" s="37" t="s">
        <v>35</v>
      </c>
      <c r="D38" s="37" t="s">
        <v>23</v>
      </c>
      <c r="E38" s="37" t="s">
        <v>25</v>
      </c>
      <c r="F38" s="37" t="s">
        <v>25</v>
      </c>
      <c r="G38" s="37" t="s">
        <v>25</v>
      </c>
      <c r="H38" s="37" t="s">
        <v>25</v>
      </c>
      <c r="I38" s="37" t="s">
        <v>25</v>
      </c>
      <c r="J38" s="37" t="s">
        <v>593</v>
      </c>
      <c r="K38" s="37" t="s">
        <v>592</v>
      </c>
      <c r="L38" s="37" t="s">
        <v>75</v>
      </c>
      <c r="M38" s="37">
        <v>2021</v>
      </c>
      <c r="N38" s="37">
        <v>0</v>
      </c>
      <c r="O38" s="37">
        <v>0</v>
      </c>
      <c r="P38" s="37">
        <v>0</v>
      </c>
    </row>
    <row r="39" spans="1:16" ht="11.25" customHeight="1" x14ac:dyDescent="0.25">
      <c r="A39" s="37">
        <v>38</v>
      </c>
      <c r="B39" s="37" t="s">
        <v>446</v>
      </c>
      <c r="C39" s="37" t="s">
        <v>22</v>
      </c>
      <c r="D39" s="37" t="s">
        <v>87</v>
      </c>
      <c r="E39" s="37" t="s">
        <v>24</v>
      </c>
      <c r="F39" s="37" t="s">
        <v>29</v>
      </c>
      <c r="G39" s="37" t="s">
        <v>25</v>
      </c>
      <c r="H39" s="37" t="s">
        <v>25</v>
      </c>
      <c r="I39" s="37" t="s">
        <v>25</v>
      </c>
      <c r="J39" s="37" t="s">
        <v>591</v>
      </c>
      <c r="K39" s="37" t="s">
        <v>592</v>
      </c>
      <c r="L39" s="37" t="s">
        <v>72</v>
      </c>
      <c r="M39" s="37">
        <v>2021</v>
      </c>
      <c r="N39" s="37">
        <v>0</v>
      </c>
      <c r="O39" s="37">
        <v>154.44999999999999</v>
      </c>
      <c r="P39" s="37">
        <v>0</v>
      </c>
    </row>
    <row r="40" spans="1:16" ht="11.25" customHeight="1" x14ac:dyDescent="0.25">
      <c r="A40" s="37">
        <v>39</v>
      </c>
      <c r="B40" s="37" t="s">
        <v>446</v>
      </c>
      <c r="C40" s="37" t="s">
        <v>22</v>
      </c>
      <c r="D40" s="37" t="s">
        <v>23</v>
      </c>
      <c r="E40" s="37" t="s">
        <v>24</v>
      </c>
      <c r="F40" s="37" t="s">
        <v>30</v>
      </c>
      <c r="G40" s="37" t="s">
        <v>25</v>
      </c>
      <c r="H40" s="37" t="s">
        <v>25</v>
      </c>
      <c r="I40" s="37" t="s">
        <v>25</v>
      </c>
      <c r="J40" s="37" t="s">
        <v>591</v>
      </c>
      <c r="K40" s="37" t="s">
        <v>592</v>
      </c>
      <c r="L40" s="37" t="s">
        <v>72</v>
      </c>
      <c r="M40" s="37">
        <v>2021</v>
      </c>
      <c r="N40" s="37">
        <v>0</v>
      </c>
      <c r="O40" s="37">
        <v>264.77</v>
      </c>
      <c r="P40" s="37">
        <v>0</v>
      </c>
    </row>
    <row r="41" spans="1:16" ht="11.25" customHeight="1" x14ac:dyDescent="0.25">
      <c r="A41" s="37">
        <v>40</v>
      </c>
      <c r="B41" s="37" t="s">
        <v>446</v>
      </c>
      <c r="C41" s="37" t="s">
        <v>35</v>
      </c>
      <c r="D41" s="37" t="s">
        <v>39</v>
      </c>
      <c r="E41" s="37" t="s">
        <v>25</v>
      </c>
      <c r="F41" s="37" t="s">
        <v>25</v>
      </c>
      <c r="G41" s="37" t="s">
        <v>79</v>
      </c>
      <c r="H41" s="37" t="s">
        <v>25</v>
      </c>
      <c r="I41" s="37" t="s">
        <v>37</v>
      </c>
      <c r="J41" s="37" t="s">
        <v>591</v>
      </c>
      <c r="K41" s="37" t="s">
        <v>592</v>
      </c>
      <c r="L41" s="37" t="s">
        <v>72</v>
      </c>
      <c r="M41" s="37">
        <v>2021</v>
      </c>
      <c r="N41" s="37">
        <v>0</v>
      </c>
      <c r="O41" s="37">
        <v>2622.72</v>
      </c>
      <c r="P41" s="37">
        <v>0</v>
      </c>
    </row>
    <row r="42" spans="1:16" ht="11.25" customHeight="1" x14ac:dyDescent="0.25">
      <c r="A42" s="37">
        <v>41</v>
      </c>
      <c r="B42" s="37" t="s">
        <v>446</v>
      </c>
      <c r="C42" s="37" t="s">
        <v>22</v>
      </c>
      <c r="D42" s="37" t="s">
        <v>87</v>
      </c>
      <c r="E42" s="37" t="s">
        <v>24</v>
      </c>
      <c r="F42" s="37" t="s">
        <v>24</v>
      </c>
      <c r="G42" s="37" t="s">
        <v>25</v>
      </c>
      <c r="H42" s="37" t="s">
        <v>25</v>
      </c>
      <c r="I42" s="37" t="s">
        <v>25</v>
      </c>
      <c r="J42" s="37" t="s">
        <v>591</v>
      </c>
      <c r="K42" s="37" t="s">
        <v>592</v>
      </c>
      <c r="L42" s="37" t="s">
        <v>72</v>
      </c>
      <c r="M42" s="37">
        <v>2021</v>
      </c>
      <c r="N42" s="37">
        <v>0</v>
      </c>
      <c r="O42" s="37">
        <v>501.48</v>
      </c>
      <c r="P42" s="37">
        <v>51.9678751133034</v>
      </c>
    </row>
    <row r="43" spans="1:16" ht="11.25" customHeight="1" x14ac:dyDescent="0.25">
      <c r="A43" s="37">
        <v>42</v>
      </c>
      <c r="B43" s="37" t="s">
        <v>446</v>
      </c>
      <c r="C43" s="37" t="s">
        <v>22</v>
      </c>
      <c r="D43" s="37" t="s">
        <v>87</v>
      </c>
      <c r="E43" s="37" t="s">
        <v>24</v>
      </c>
      <c r="F43" s="37" t="s">
        <v>31</v>
      </c>
      <c r="G43" s="37" t="s">
        <v>25</v>
      </c>
      <c r="H43" s="37" t="s">
        <v>25</v>
      </c>
      <c r="I43" s="37" t="s">
        <v>25</v>
      </c>
      <c r="J43" s="37" t="s">
        <v>591</v>
      </c>
      <c r="K43" s="37" t="s">
        <v>592</v>
      </c>
      <c r="L43" s="37" t="s">
        <v>72</v>
      </c>
      <c r="M43" s="37">
        <v>2021</v>
      </c>
      <c r="N43" s="37">
        <v>0</v>
      </c>
      <c r="O43" s="37">
        <v>397.15</v>
      </c>
      <c r="P43" s="37">
        <v>0</v>
      </c>
    </row>
    <row r="44" spans="1:16" ht="11.25" customHeight="1" x14ac:dyDescent="0.25">
      <c r="A44" s="37">
        <v>43</v>
      </c>
      <c r="B44" s="37" t="s">
        <v>446</v>
      </c>
      <c r="C44" s="37" t="s">
        <v>35</v>
      </c>
      <c r="D44" s="37" t="s">
        <v>39</v>
      </c>
      <c r="E44" s="37" t="s">
        <v>25</v>
      </c>
      <c r="F44" s="37" t="s">
        <v>25</v>
      </c>
      <c r="G44" s="37" t="s">
        <v>79</v>
      </c>
      <c r="H44" s="37" t="s">
        <v>25</v>
      </c>
      <c r="I44" s="37" t="s">
        <v>38</v>
      </c>
      <c r="J44" s="37" t="s">
        <v>591</v>
      </c>
      <c r="K44" s="37" t="s">
        <v>592</v>
      </c>
      <c r="L44" s="37" t="s">
        <v>72</v>
      </c>
      <c r="M44" s="37">
        <v>2021</v>
      </c>
      <c r="N44" s="37">
        <v>0</v>
      </c>
      <c r="O44" s="37">
        <v>6.93</v>
      </c>
      <c r="P44" s="37">
        <v>0</v>
      </c>
    </row>
    <row r="45" spans="1:16" ht="11.25" customHeight="1" x14ac:dyDescent="0.25">
      <c r="A45" s="37">
        <v>44</v>
      </c>
      <c r="B45" s="37" t="s">
        <v>446</v>
      </c>
      <c r="C45" s="37" t="s">
        <v>35</v>
      </c>
      <c r="D45" s="37" t="s">
        <v>80</v>
      </c>
      <c r="E45" s="37" t="s">
        <v>25</v>
      </c>
      <c r="F45" s="37" t="s">
        <v>25</v>
      </c>
      <c r="G45" s="37" t="s">
        <v>25</v>
      </c>
      <c r="H45" s="37" t="s">
        <v>25</v>
      </c>
      <c r="I45" s="37" t="s">
        <v>25</v>
      </c>
      <c r="J45" s="37" t="s">
        <v>593</v>
      </c>
      <c r="K45" s="37" t="s">
        <v>592</v>
      </c>
      <c r="L45" s="37" t="s">
        <v>75</v>
      </c>
      <c r="M45" s="37">
        <v>2021</v>
      </c>
      <c r="N45" s="37">
        <v>0</v>
      </c>
      <c r="O45" s="37">
        <v>9.64</v>
      </c>
      <c r="P45" s="37">
        <v>0</v>
      </c>
    </row>
    <row r="46" spans="1:16" ht="11.25" customHeight="1" x14ac:dyDescent="0.25">
      <c r="A46" s="37">
        <v>45</v>
      </c>
      <c r="B46" s="37" t="s">
        <v>446</v>
      </c>
      <c r="C46" s="37" t="s">
        <v>22</v>
      </c>
      <c r="D46" s="37" t="s">
        <v>41</v>
      </c>
      <c r="E46" s="37" t="s">
        <v>24</v>
      </c>
      <c r="F46" s="37" t="s">
        <v>24</v>
      </c>
      <c r="G46" s="37" t="s">
        <v>25</v>
      </c>
      <c r="H46" s="37" t="s">
        <v>25</v>
      </c>
      <c r="I46" s="37" t="s">
        <v>42</v>
      </c>
      <c r="J46" s="37" t="s">
        <v>591</v>
      </c>
      <c r="K46" s="37" t="s">
        <v>592</v>
      </c>
      <c r="L46" s="37" t="s">
        <v>72</v>
      </c>
      <c r="M46" s="37">
        <v>2021</v>
      </c>
      <c r="N46" s="37">
        <v>0</v>
      </c>
      <c r="O46" s="37">
        <v>764</v>
      </c>
      <c r="P46" s="37">
        <v>51.9678751133034</v>
      </c>
    </row>
    <row r="47" spans="1:16" ht="11.25" customHeight="1" x14ac:dyDescent="0.25">
      <c r="A47" s="37">
        <v>46</v>
      </c>
      <c r="B47" s="37" t="s">
        <v>446</v>
      </c>
      <c r="C47" s="37" t="s">
        <v>35</v>
      </c>
      <c r="D47" s="37" t="s">
        <v>39</v>
      </c>
      <c r="E47" s="37" t="s">
        <v>25</v>
      </c>
      <c r="F47" s="37" t="s">
        <v>25</v>
      </c>
      <c r="G47" s="37" t="s">
        <v>25</v>
      </c>
      <c r="H47" s="37" t="s">
        <v>25</v>
      </c>
      <c r="I47" s="37" t="s">
        <v>25</v>
      </c>
      <c r="J47" s="37" t="s">
        <v>593</v>
      </c>
      <c r="K47" s="37" t="s">
        <v>592</v>
      </c>
      <c r="L47" s="37" t="s">
        <v>75</v>
      </c>
      <c r="M47" s="37">
        <v>2021</v>
      </c>
      <c r="N47" s="37">
        <v>0</v>
      </c>
      <c r="O47" s="37">
        <v>34.479999999999997</v>
      </c>
      <c r="P47" s="37">
        <v>0</v>
      </c>
    </row>
    <row r="48" spans="1:16" ht="11.25" customHeight="1" x14ac:dyDescent="0.25">
      <c r="A48" s="37">
        <v>47</v>
      </c>
      <c r="B48" s="37" t="s">
        <v>446</v>
      </c>
      <c r="C48" s="37" t="s">
        <v>22</v>
      </c>
      <c r="D48" s="37" t="s">
        <v>41</v>
      </c>
      <c r="E48" s="37" t="s">
        <v>24</v>
      </c>
      <c r="F48" s="37" t="s">
        <v>24</v>
      </c>
      <c r="G48" s="37" t="s">
        <v>25</v>
      </c>
      <c r="H48" s="37" t="s">
        <v>25</v>
      </c>
      <c r="I48" s="37" t="s">
        <v>37</v>
      </c>
      <c r="J48" s="37" t="s">
        <v>591</v>
      </c>
      <c r="K48" s="37" t="s">
        <v>592</v>
      </c>
      <c r="L48" s="37" t="s">
        <v>72</v>
      </c>
      <c r="M48" s="37">
        <v>2021</v>
      </c>
      <c r="N48" s="37">
        <v>0</v>
      </c>
      <c r="O48" s="37">
        <v>1221.1199999999999</v>
      </c>
      <c r="P48" s="37">
        <v>51.9678751133034</v>
      </c>
    </row>
    <row r="49" spans="1:16" ht="11.25" customHeight="1" x14ac:dyDescent="0.25">
      <c r="A49" s="37">
        <v>48</v>
      </c>
      <c r="B49" s="37" t="s">
        <v>446</v>
      </c>
      <c r="C49" s="37" t="s">
        <v>81</v>
      </c>
      <c r="D49" s="37" t="s">
        <v>80</v>
      </c>
      <c r="E49" s="37" t="s">
        <v>25</v>
      </c>
      <c r="F49" s="37" t="s">
        <v>25</v>
      </c>
      <c r="G49" s="37" t="s">
        <v>83</v>
      </c>
      <c r="H49" s="37" t="s">
        <v>25</v>
      </c>
      <c r="I49" s="37" t="s">
        <v>25</v>
      </c>
      <c r="J49" s="37" t="s">
        <v>593</v>
      </c>
      <c r="K49" s="37" t="s">
        <v>592</v>
      </c>
      <c r="L49" s="37" t="s">
        <v>75</v>
      </c>
      <c r="M49" s="37">
        <v>2021</v>
      </c>
      <c r="N49" s="37">
        <v>0</v>
      </c>
      <c r="O49" s="37">
        <v>20.22</v>
      </c>
      <c r="P49" s="37">
        <v>0</v>
      </c>
    </row>
    <row r="50" spans="1:16" ht="11.25" customHeight="1" x14ac:dyDescent="0.25">
      <c r="A50" s="37">
        <v>49</v>
      </c>
      <c r="B50" s="37" t="s">
        <v>446</v>
      </c>
      <c r="C50" s="37" t="s">
        <v>22</v>
      </c>
      <c r="D50" s="37" t="s">
        <v>87</v>
      </c>
      <c r="E50" s="37" t="s">
        <v>24</v>
      </c>
      <c r="F50" s="37" t="s">
        <v>32</v>
      </c>
      <c r="G50" s="37" t="s">
        <v>25</v>
      </c>
      <c r="H50" s="37" t="s">
        <v>25</v>
      </c>
      <c r="I50" s="37" t="s">
        <v>25</v>
      </c>
      <c r="J50" s="37" t="s">
        <v>591</v>
      </c>
      <c r="K50" s="37" t="s">
        <v>592</v>
      </c>
      <c r="L50" s="37" t="s">
        <v>72</v>
      </c>
      <c r="M50" s="37">
        <v>2021</v>
      </c>
      <c r="N50" s="37">
        <v>0</v>
      </c>
      <c r="O50" s="37">
        <v>441.28</v>
      </c>
      <c r="P50" s="37">
        <v>0</v>
      </c>
    </row>
    <row r="51" spans="1:16" ht="11.25" customHeight="1" x14ac:dyDescent="0.25">
      <c r="A51" s="37">
        <v>50</v>
      </c>
      <c r="B51" s="37" t="s">
        <v>446</v>
      </c>
      <c r="C51" s="37" t="s">
        <v>35</v>
      </c>
      <c r="D51" s="37" t="s">
        <v>39</v>
      </c>
      <c r="E51" s="37" t="s">
        <v>25</v>
      </c>
      <c r="F51" s="37" t="s">
        <v>25</v>
      </c>
      <c r="G51" s="37" t="s">
        <v>25</v>
      </c>
      <c r="H51" s="37" t="s">
        <v>25</v>
      </c>
      <c r="I51" s="37" t="s">
        <v>38</v>
      </c>
      <c r="J51" s="37" t="s">
        <v>591</v>
      </c>
      <c r="K51" s="37" t="s">
        <v>592</v>
      </c>
      <c r="L51" s="37" t="s">
        <v>72</v>
      </c>
      <c r="M51" s="37">
        <v>2021</v>
      </c>
      <c r="N51" s="37">
        <v>0</v>
      </c>
      <c r="O51" s="37">
        <v>60.38</v>
      </c>
      <c r="P51" s="37">
        <v>45.212051348574001</v>
      </c>
    </row>
    <row r="52" spans="1:16" ht="11.25" customHeight="1" x14ac:dyDescent="0.25">
      <c r="A52" s="37">
        <v>51</v>
      </c>
      <c r="B52" s="37" t="s">
        <v>446</v>
      </c>
      <c r="C52" s="37" t="s">
        <v>43</v>
      </c>
      <c r="D52" s="37" t="s">
        <v>41</v>
      </c>
      <c r="E52" s="37" t="s">
        <v>44</v>
      </c>
      <c r="F52" s="37" t="s">
        <v>25</v>
      </c>
      <c r="G52" s="37" t="s">
        <v>25</v>
      </c>
      <c r="H52" s="37" t="s">
        <v>25</v>
      </c>
      <c r="I52" s="37" t="s">
        <v>42</v>
      </c>
      <c r="J52" s="37" t="s">
        <v>591</v>
      </c>
      <c r="K52" s="37" t="s">
        <v>592</v>
      </c>
      <c r="L52" s="37" t="s">
        <v>72</v>
      </c>
      <c r="M52" s="37">
        <v>2021</v>
      </c>
      <c r="N52" s="37">
        <v>0</v>
      </c>
      <c r="O52" s="37">
        <v>728.13</v>
      </c>
      <c r="P52" s="37">
        <v>45.731730099707001</v>
      </c>
    </row>
    <row r="53" spans="1:16" ht="11.25" customHeight="1" x14ac:dyDescent="0.25">
      <c r="A53" s="37">
        <v>52</v>
      </c>
      <c r="B53" s="37" t="s">
        <v>446</v>
      </c>
      <c r="C53" s="37" t="s">
        <v>22</v>
      </c>
      <c r="D53" s="37" t="s">
        <v>23</v>
      </c>
      <c r="E53" s="37" t="s">
        <v>24</v>
      </c>
      <c r="F53" s="37" t="s">
        <v>32</v>
      </c>
      <c r="G53" s="37" t="s">
        <v>25</v>
      </c>
      <c r="H53" s="37" t="s">
        <v>25</v>
      </c>
      <c r="I53" s="37" t="s">
        <v>25</v>
      </c>
      <c r="J53" s="37" t="s">
        <v>591</v>
      </c>
      <c r="K53" s="37" t="s">
        <v>592</v>
      </c>
      <c r="L53" s="37" t="s">
        <v>72</v>
      </c>
      <c r="M53" s="37">
        <v>2021</v>
      </c>
      <c r="N53" s="37">
        <v>0</v>
      </c>
      <c r="O53" s="37">
        <v>441.28</v>
      </c>
      <c r="P53" s="37">
        <v>0</v>
      </c>
    </row>
    <row r="54" spans="1:16" ht="11.25" customHeight="1" x14ac:dyDescent="0.25">
      <c r="A54" s="37">
        <v>53</v>
      </c>
      <c r="B54" s="37" t="s">
        <v>446</v>
      </c>
      <c r="C54" s="37" t="s">
        <v>81</v>
      </c>
      <c r="D54" s="37" t="s">
        <v>80</v>
      </c>
      <c r="E54" s="37" t="s">
        <v>25</v>
      </c>
      <c r="F54" s="37" t="s">
        <v>25</v>
      </c>
      <c r="G54" s="37" t="s">
        <v>82</v>
      </c>
      <c r="H54" s="37" t="s">
        <v>25</v>
      </c>
      <c r="I54" s="37" t="s">
        <v>25</v>
      </c>
      <c r="J54" s="37" t="s">
        <v>593</v>
      </c>
      <c r="K54" s="37" t="s">
        <v>592</v>
      </c>
      <c r="L54" s="37" t="s">
        <v>75</v>
      </c>
      <c r="M54" s="37">
        <v>2021</v>
      </c>
      <c r="N54" s="37">
        <v>0</v>
      </c>
      <c r="O54" s="37">
        <v>9.94</v>
      </c>
      <c r="P54" s="37">
        <v>0</v>
      </c>
    </row>
    <row r="55" spans="1:16" ht="11.25" customHeight="1" x14ac:dyDescent="0.25">
      <c r="A55" s="37">
        <v>54</v>
      </c>
      <c r="B55" s="37" t="s">
        <v>446</v>
      </c>
      <c r="C55" s="37" t="s">
        <v>35</v>
      </c>
      <c r="D55" s="37" t="s">
        <v>36</v>
      </c>
      <c r="E55" s="37" t="s">
        <v>25</v>
      </c>
      <c r="F55" s="37" t="s">
        <v>25</v>
      </c>
      <c r="G55" s="37" t="s">
        <v>25</v>
      </c>
      <c r="H55" s="37" t="s">
        <v>25</v>
      </c>
      <c r="I55" s="37" t="s">
        <v>37</v>
      </c>
      <c r="J55" s="37" t="s">
        <v>593</v>
      </c>
      <c r="K55" s="37" t="s">
        <v>592</v>
      </c>
      <c r="L55" s="37" t="s">
        <v>75</v>
      </c>
      <c r="M55" s="37">
        <v>2021</v>
      </c>
      <c r="N55" s="37">
        <v>0</v>
      </c>
      <c r="O55" s="37">
        <v>108.71</v>
      </c>
      <c r="P55" s="37">
        <v>0</v>
      </c>
    </row>
    <row r="56" spans="1:16" ht="11.25" customHeight="1" x14ac:dyDescent="0.25">
      <c r="A56" s="37">
        <v>55</v>
      </c>
      <c r="B56" s="37" t="s">
        <v>446</v>
      </c>
      <c r="C56" s="37" t="s">
        <v>43</v>
      </c>
      <c r="D56" s="37" t="s">
        <v>23</v>
      </c>
      <c r="E56" s="37" t="s">
        <v>44</v>
      </c>
      <c r="F56" s="37" t="s">
        <v>25</v>
      </c>
      <c r="G56" s="37" t="s">
        <v>25</v>
      </c>
      <c r="H56" s="37" t="s">
        <v>25</v>
      </c>
      <c r="I56" s="37" t="s">
        <v>25</v>
      </c>
      <c r="J56" s="37" t="s">
        <v>591</v>
      </c>
      <c r="K56" s="37" t="s">
        <v>592</v>
      </c>
      <c r="L56" s="37" t="s">
        <v>72</v>
      </c>
      <c r="M56" s="37">
        <v>2021</v>
      </c>
      <c r="N56" s="37">
        <v>0</v>
      </c>
      <c r="O56" s="37">
        <v>441.31</v>
      </c>
      <c r="P56" s="37">
        <v>45.731730099707001</v>
      </c>
    </row>
    <row r="57" spans="1:16" ht="11.25" customHeight="1" x14ac:dyDescent="0.25">
      <c r="A57" s="37">
        <v>56</v>
      </c>
      <c r="B57" s="37" t="s">
        <v>446</v>
      </c>
      <c r="C57" s="37" t="s">
        <v>33</v>
      </c>
      <c r="D57" s="37" t="s">
        <v>41</v>
      </c>
      <c r="E57" s="37" t="s">
        <v>25</v>
      </c>
      <c r="F57" s="37" t="s">
        <v>25</v>
      </c>
      <c r="G57" s="37" t="s">
        <v>25</v>
      </c>
      <c r="H57" s="37" t="s">
        <v>25</v>
      </c>
      <c r="I57" s="37" t="s">
        <v>42</v>
      </c>
      <c r="J57" s="37" t="s">
        <v>591</v>
      </c>
      <c r="K57" s="37" t="s">
        <v>592</v>
      </c>
      <c r="L57" s="37" t="s">
        <v>72</v>
      </c>
      <c r="M57" s="37">
        <v>2021</v>
      </c>
      <c r="N57" s="37">
        <v>0</v>
      </c>
      <c r="O57" s="37">
        <v>954.43</v>
      </c>
      <c r="P57" s="37">
        <v>51.9678751133034</v>
      </c>
    </row>
    <row r="58" spans="1:16" ht="11.25" customHeight="1" x14ac:dyDescent="0.25">
      <c r="A58" s="37">
        <v>57</v>
      </c>
      <c r="B58" s="37" t="s">
        <v>446</v>
      </c>
      <c r="C58" s="37" t="s">
        <v>43</v>
      </c>
      <c r="D58" s="37" t="s">
        <v>41</v>
      </c>
      <c r="E58" s="37" t="s">
        <v>44</v>
      </c>
      <c r="F58" s="37" t="s">
        <v>88</v>
      </c>
      <c r="G58" s="37" t="s">
        <v>25</v>
      </c>
      <c r="H58" s="37" t="s">
        <v>25</v>
      </c>
      <c r="I58" s="37" t="s">
        <v>38</v>
      </c>
      <c r="J58" s="37" t="s">
        <v>591</v>
      </c>
      <c r="K58" s="37" t="s">
        <v>592</v>
      </c>
      <c r="L58" s="37" t="s">
        <v>72</v>
      </c>
      <c r="M58" s="37">
        <v>2021</v>
      </c>
      <c r="N58" s="37">
        <v>0</v>
      </c>
      <c r="O58" s="37">
        <v>288.63</v>
      </c>
      <c r="P58" s="37">
        <v>45.731730099707001</v>
      </c>
    </row>
    <row r="59" spans="1:16" ht="11.25" customHeight="1" x14ac:dyDescent="0.25">
      <c r="A59" s="37">
        <v>58</v>
      </c>
      <c r="B59" s="37" t="s">
        <v>446</v>
      </c>
      <c r="C59" s="37" t="s">
        <v>33</v>
      </c>
      <c r="D59" s="37" t="s">
        <v>87</v>
      </c>
      <c r="E59" s="37" t="s">
        <v>25</v>
      </c>
      <c r="F59" s="37" t="s">
        <v>25</v>
      </c>
      <c r="G59" s="37" t="s">
        <v>25</v>
      </c>
      <c r="H59" s="37" t="s">
        <v>25</v>
      </c>
      <c r="I59" s="37" t="s">
        <v>25</v>
      </c>
      <c r="J59" s="37" t="s">
        <v>591</v>
      </c>
      <c r="K59" s="37" t="s">
        <v>592</v>
      </c>
      <c r="L59" s="37" t="s">
        <v>72</v>
      </c>
      <c r="M59" s="37">
        <v>2021</v>
      </c>
      <c r="N59" s="37">
        <v>0</v>
      </c>
      <c r="O59" s="37">
        <v>501.48</v>
      </c>
      <c r="P59" s="37">
        <v>51.9678751133034</v>
      </c>
    </row>
    <row r="60" spans="1:16" ht="11.25" customHeight="1" x14ac:dyDescent="0.25">
      <c r="A60" s="37">
        <v>59</v>
      </c>
      <c r="B60" s="37" t="s">
        <v>446</v>
      </c>
      <c r="C60" s="37" t="s">
        <v>33</v>
      </c>
      <c r="D60" s="37" t="s">
        <v>41</v>
      </c>
      <c r="E60" s="37" t="s">
        <v>25</v>
      </c>
      <c r="F60" s="37" t="s">
        <v>25</v>
      </c>
      <c r="G60" s="37" t="s">
        <v>25</v>
      </c>
      <c r="H60" s="37" t="s">
        <v>25</v>
      </c>
      <c r="I60" s="37" t="s">
        <v>38</v>
      </c>
      <c r="J60" s="37" t="s">
        <v>591</v>
      </c>
      <c r="K60" s="37" t="s">
        <v>592</v>
      </c>
      <c r="L60" s="37" t="s">
        <v>72</v>
      </c>
      <c r="M60" s="37">
        <v>2021</v>
      </c>
      <c r="N60" s="37">
        <v>0</v>
      </c>
      <c r="O60" s="37">
        <v>370.31</v>
      </c>
      <c r="P60" s="37">
        <v>51.9678751133034</v>
      </c>
    </row>
    <row r="61" spans="1:16" ht="11.25" customHeight="1" x14ac:dyDescent="0.25">
      <c r="A61" s="37">
        <v>60</v>
      </c>
      <c r="B61" s="37" t="s">
        <v>446</v>
      </c>
      <c r="C61" s="37" t="s">
        <v>43</v>
      </c>
      <c r="D61" s="37" t="s">
        <v>41</v>
      </c>
      <c r="E61" s="37" t="s">
        <v>44</v>
      </c>
      <c r="F61" s="37" t="s">
        <v>89</v>
      </c>
      <c r="G61" s="37" t="s">
        <v>25</v>
      </c>
      <c r="H61" s="37" t="s">
        <v>25</v>
      </c>
      <c r="I61" s="37" t="s">
        <v>38</v>
      </c>
      <c r="J61" s="37" t="s">
        <v>591</v>
      </c>
      <c r="K61" s="37" t="s">
        <v>592</v>
      </c>
      <c r="L61" s="37" t="s">
        <v>72</v>
      </c>
      <c r="M61" s="37">
        <v>2021</v>
      </c>
      <c r="N61" s="37">
        <v>0</v>
      </c>
      <c r="O61" s="37">
        <v>275.51</v>
      </c>
      <c r="P61" s="37">
        <v>43.653015095174901</v>
      </c>
    </row>
    <row r="62" spans="1:16" ht="11.25" customHeight="1" x14ac:dyDescent="0.25">
      <c r="A62" s="37">
        <v>61</v>
      </c>
      <c r="B62" s="37" t="s">
        <v>474</v>
      </c>
      <c r="C62" s="37" t="s">
        <v>35</v>
      </c>
      <c r="D62" s="37" t="s">
        <v>71</v>
      </c>
      <c r="E62" s="37" t="s">
        <v>25</v>
      </c>
      <c r="F62" s="37" t="s">
        <v>25</v>
      </c>
      <c r="G62" s="37" t="s">
        <v>25</v>
      </c>
      <c r="H62" s="37" t="s">
        <v>25</v>
      </c>
      <c r="I62" s="37" t="s">
        <v>38</v>
      </c>
      <c r="J62" s="37" t="s">
        <v>591</v>
      </c>
      <c r="K62" s="37" t="s">
        <v>592</v>
      </c>
      <c r="L62" s="37" t="s">
        <v>72</v>
      </c>
      <c r="M62" s="37">
        <v>2021</v>
      </c>
      <c r="N62" s="37">
        <v>0</v>
      </c>
      <c r="O62" s="37">
        <v>150.26</v>
      </c>
      <c r="P62" s="37"/>
    </row>
    <row r="63" spans="1:16" ht="11.25" customHeight="1" x14ac:dyDescent="0.25">
      <c r="A63" s="37">
        <v>62</v>
      </c>
      <c r="B63" s="37" t="s">
        <v>446</v>
      </c>
      <c r="C63" s="37" t="s">
        <v>43</v>
      </c>
      <c r="D63" s="37" t="s">
        <v>23</v>
      </c>
      <c r="E63" s="37" t="s">
        <v>44</v>
      </c>
      <c r="F63" s="37" t="s">
        <v>88</v>
      </c>
      <c r="G63" s="37" t="s">
        <v>25</v>
      </c>
      <c r="H63" s="37" t="s">
        <v>25</v>
      </c>
      <c r="I63" s="37" t="s">
        <v>25</v>
      </c>
      <c r="J63" s="37" t="s">
        <v>591</v>
      </c>
      <c r="K63" s="37" t="s">
        <v>592</v>
      </c>
      <c r="L63" s="37" t="s">
        <v>72</v>
      </c>
      <c r="M63" s="37">
        <v>2021</v>
      </c>
      <c r="N63" s="37">
        <v>0</v>
      </c>
      <c r="O63" s="37">
        <v>441.31</v>
      </c>
      <c r="P63" s="37">
        <v>45.731730099707001</v>
      </c>
    </row>
    <row r="64" spans="1:16" ht="11.25" customHeight="1" x14ac:dyDescent="0.25">
      <c r="A64" s="37">
        <v>63</v>
      </c>
      <c r="B64" s="37" t="s">
        <v>446</v>
      </c>
      <c r="C64" s="37" t="s">
        <v>46</v>
      </c>
      <c r="D64" s="37" t="s">
        <v>23</v>
      </c>
      <c r="E64" s="37" t="s">
        <v>47</v>
      </c>
      <c r="F64" s="37" t="s">
        <v>48</v>
      </c>
      <c r="G64" s="37" t="s">
        <v>25</v>
      </c>
      <c r="H64" s="37" t="s">
        <v>25</v>
      </c>
      <c r="I64" s="37" t="s">
        <v>25</v>
      </c>
      <c r="J64" s="37" t="s">
        <v>591</v>
      </c>
      <c r="K64" s="37" t="s">
        <v>592</v>
      </c>
      <c r="L64" s="37" t="s">
        <v>72</v>
      </c>
      <c r="M64" s="37">
        <v>2021</v>
      </c>
      <c r="N64" s="37">
        <v>0</v>
      </c>
      <c r="O64" s="37">
        <v>275.82</v>
      </c>
      <c r="P64" s="37">
        <v>28.582331312316899</v>
      </c>
    </row>
    <row r="65" spans="1:16" ht="11.25" customHeight="1" x14ac:dyDescent="0.25">
      <c r="A65" s="37">
        <v>64</v>
      </c>
      <c r="B65" s="37" t="s">
        <v>474</v>
      </c>
      <c r="C65" s="37" t="s">
        <v>35</v>
      </c>
      <c r="D65" s="37" t="s">
        <v>85</v>
      </c>
      <c r="E65" s="37" t="s">
        <v>25</v>
      </c>
      <c r="F65" s="37" t="s">
        <v>25</v>
      </c>
      <c r="G65" s="37" t="s">
        <v>25</v>
      </c>
      <c r="H65" s="37" t="s">
        <v>25</v>
      </c>
      <c r="I65" s="37" t="s">
        <v>25</v>
      </c>
      <c r="J65" s="37" t="s">
        <v>591</v>
      </c>
      <c r="K65" s="37" t="s">
        <v>592</v>
      </c>
      <c r="L65" s="37" t="s">
        <v>72</v>
      </c>
      <c r="M65" s="37">
        <v>2021</v>
      </c>
      <c r="N65" s="37">
        <v>0</v>
      </c>
      <c r="O65" s="37">
        <v>150.26</v>
      </c>
      <c r="P65" s="37"/>
    </row>
    <row r="66" spans="1:16" ht="11.25" customHeight="1" x14ac:dyDescent="0.25">
      <c r="A66" s="37">
        <v>65</v>
      </c>
      <c r="B66" s="37" t="s">
        <v>446</v>
      </c>
      <c r="C66" s="37" t="s">
        <v>43</v>
      </c>
      <c r="D66" s="37" t="s">
        <v>41</v>
      </c>
      <c r="E66" s="37" t="s">
        <v>44</v>
      </c>
      <c r="F66" s="37" t="s">
        <v>88</v>
      </c>
      <c r="G66" s="37" t="s">
        <v>25</v>
      </c>
      <c r="H66" s="37" t="s">
        <v>25</v>
      </c>
      <c r="I66" s="37" t="s">
        <v>42</v>
      </c>
      <c r="J66" s="37" t="s">
        <v>591</v>
      </c>
      <c r="K66" s="37" t="s">
        <v>592</v>
      </c>
      <c r="L66" s="37" t="s">
        <v>72</v>
      </c>
      <c r="M66" s="37">
        <v>2021</v>
      </c>
      <c r="N66" s="37">
        <v>0</v>
      </c>
      <c r="O66" s="37">
        <v>728.13</v>
      </c>
      <c r="P66" s="37">
        <v>45.731730099707001</v>
      </c>
    </row>
    <row r="67" spans="1:16" ht="11.25" customHeight="1" x14ac:dyDescent="0.25">
      <c r="A67" s="37">
        <v>66</v>
      </c>
      <c r="B67" s="37" t="s">
        <v>446</v>
      </c>
      <c r="C67" s="37" t="s">
        <v>33</v>
      </c>
      <c r="D67" s="37" t="s">
        <v>23</v>
      </c>
      <c r="E67" s="37" t="s">
        <v>25</v>
      </c>
      <c r="F67" s="37" t="s">
        <v>25</v>
      </c>
      <c r="G67" s="37" t="s">
        <v>25</v>
      </c>
      <c r="H67" s="37" t="s">
        <v>25</v>
      </c>
      <c r="I67" s="37" t="s">
        <v>25</v>
      </c>
      <c r="J67" s="37" t="s">
        <v>591</v>
      </c>
      <c r="K67" s="37" t="s">
        <v>592</v>
      </c>
      <c r="L67" s="37" t="s">
        <v>72</v>
      </c>
      <c r="M67" s="37">
        <v>2021</v>
      </c>
      <c r="N67" s="37">
        <v>0</v>
      </c>
      <c r="O67" s="37">
        <v>501.48</v>
      </c>
      <c r="P67" s="37">
        <v>51.9678751133034</v>
      </c>
    </row>
    <row r="68" spans="1:16" ht="11.25" customHeight="1" x14ac:dyDescent="0.25">
      <c r="A68" s="37">
        <v>67</v>
      </c>
      <c r="B68" s="37" t="s">
        <v>446</v>
      </c>
      <c r="C68" s="37" t="s">
        <v>43</v>
      </c>
      <c r="D68" s="37" t="s">
        <v>41</v>
      </c>
      <c r="E68" s="37" t="s">
        <v>44</v>
      </c>
      <c r="F68" s="37" t="s">
        <v>88</v>
      </c>
      <c r="G68" s="37" t="s">
        <v>25</v>
      </c>
      <c r="H68" s="37" t="s">
        <v>25</v>
      </c>
      <c r="I68" s="37" t="s">
        <v>37</v>
      </c>
      <c r="J68" s="37" t="s">
        <v>591</v>
      </c>
      <c r="K68" s="37" t="s">
        <v>592</v>
      </c>
      <c r="L68" s="37" t="s">
        <v>72</v>
      </c>
      <c r="M68" s="37">
        <v>2021</v>
      </c>
      <c r="N68" s="37">
        <v>0</v>
      </c>
      <c r="O68" s="37">
        <v>1167.6400000000001</v>
      </c>
      <c r="P68" s="37">
        <v>45.731730099707001</v>
      </c>
    </row>
    <row r="69" spans="1:16" ht="11.25" customHeight="1" x14ac:dyDescent="0.25">
      <c r="A69" s="37">
        <v>68</v>
      </c>
      <c r="B69" s="37" t="s">
        <v>446</v>
      </c>
      <c r="C69" s="37" t="s">
        <v>43</v>
      </c>
      <c r="D69" s="37" t="s">
        <v>23</v>
      </c>
      <c r="E69" s="37" t="s">
        <v>44</v>
      </c>
      <c r="F69" s="37" t="s">
        <v>89</v>
      </c>
      <c r="G69" s="37" t="s">
        <v>25</v>
      </c>
      <c r="H69" s="37" t="s">
        <v>25</v>
      </c>
      <c r="I69" s="37" t="s">
        <v>25</v>
      </c>
      <c r="J69" s="37" t="s">
        <v>591</v>
      </c>
      <c r="K69" s="37" t="s">
        <v>592</v>
      </c>
      <c r="L69" s="37" t="s">
        <v>72</v>
      </c>
      <c r="M69" s="37">
        <v>2021</v>
      </c>
      <c r="N69" s="37">
        <v>0</v>
      </c>
      <c r="O69" s="37">
        <v>421.25</v>
      </c>
      <c r="P69" s="37">
        <v>43.653015095174901</v>
      </c>
    </row>
    <row r="70" spans="1:16" ht="11.25" customHeight="1" x14ac:dyDescent="0.25">
      <c r="A70" s="37">
        <v>69</v>
      </c>
      <c r="B70" s="37" t="s">
        <v>446</v>
      </c>
      <c r="C70" s="37" t="s">
        <v>43</v>
      </c>
      <c r="D70" s="37" t="s">
        <v>41</v>
      </c>
      <c r="E70" s="37" t="s">
        <v>44</v>
      </c>
      <c r="F70" s="37" t="s">
        <v>89</v>
      </c>
      <c r="G70" s="37" t="s">
        <v>25</v>
      </c>
      <c r="H70" s="37" t="s">
        <v>25</v>
      </c>
      <c r="I70" s="37" t="s">
        <v>42</v>
      </c>
      <c r="J70" s="37" t="s">
        <v>591</v>
      </c>
      <c r="K70" s="37" t="s">
        <v>592</v>
      </c>
      <c r="L70" s="37" t="s">
        <v>72</v>
      </c>
      <c r="M70" s="37">
        <v>2021</v>
      </c>
      <c r="N70" s="37">
        <v>0</v>
      </c>
      <c r="O70" s="37">
        <v>695.04</v>
      </c>
      <c r="P70" s="37">
        <v>43.653015095174901</v>
      </c>
    </row>
    <row r="71" spans="1:16" ht="11.25" customHeight="1" x14ac:dyDescent="0.25">
      <c r="A71" s="37">
        <v>70</v>
      </c>
      <c r="B71" s="37" t="s">
        <v>474</v>
      </c>
      <c r="C71" s="37" t="s">
        <v>35</v>
      </c>
      <c r="D71" s="37" t="s">
        <v>71</v>
      </c>
      <c r="E71" s="37" t="s">
        <v>25</v>
      </c>
      <c r="F71" s="37" t="s">
        <v>25</v>
      </c>
      <c r="G71" s="37" t="s">
        <v>25</v>
      </c>
      <c r="H71" s="37" t="s">
        <v>25</v>
      </c>
      <c r="I71" s="37" t="s">
        <v>37</v>
      </c>
      <c r="J71" s="37" t="s">
        <v>591</v>
      </c>
      <c r="K71" s="37" t="s">
        <v>592</v>
      </c>
      <c r="L71" s="37" t="s">
        <v>72</v>
      </c>
      <c r="M71" s="37">
        <v>2021</v>
      </c>
      <c r="N71" s="37">
        <v>0</v>
      </c>
      <c r="O71" s="37">
        <v>150.26</v>
      </c>
      <c r="P71" s="37"/>
    </row>
    <row r="72" spans="1:16" ht="11.25" customHeight="1" x14ac:dyDescent="0.25">
      <c r="A72" s="37">
        <v>71</v>
      </c>
      <c r="B72" s="37" t="s">
        <v>446</v>
      </c>
      <c r="C72" s="37" t="s">
        <v>43</v>
      </c>
      <c r="D72" s="37" t="s">
        <v>87</v>
      </c>
      <c r="E72" s="37" t="s">
        <v>44</v>
      </c>
      <c r="F72" s="37" t="s">
        <v>89</v>
      </c>
      <c r="G72" s="37" t="s">
        <v>25</v>
      </c>
      <c r="H72" s="37" t="s">
        <v>25</v>
      </c>
      <c r="I72" s="37" t="s">
        <v>25</v>
      </c>
      <c r="J72" s="37" t="s">
        <v>591</v>
      </c>
      <c r="K72" s="37" t="s">
        <v>592</v>
      </c>
      <c r="L72" s="37" t="s">
        <v>72</v>
      </c>
      <c r="M72" s="37">
        <v>2021</v>
      </c>
      <c r="N72" s="37">
        <v>0</v>
      </c>
      <c r="O72" s="37">
        <v>421.25</v>
      </c>
      <c r="P72" s="37">
        <v>43.653015095174901</v>
      </c>
    </row>
    <row r="73" spans="1:16" ht="11.25" customHeight="1" x14ac:dyDescent="0.25">
      <c r="A73" s="37">
        <v>72</v>
      </c>
      <c r="B73" s="37" t="s">
        <v>474</v>
      </c>
      <c r="C73" s="37" t="s">
        <v>22</v>
      </c>
      <c r="D73" s="37" t="s">
        <v>71</v>
      </c>
      <c r="E73" s="37" t="s">
        <v>24</v>
      </c>
      <c r="F73" s="37" t="s">
        <v>24</v>
      </c>
      <c r="G73" s="37" t="s">
        <v>25</v>
      </c>
      <c r="H73" s="37" t="s">
        <v>25</v>
      </c>
      <c r="I73" s="37" t="s">
        <v>38</v>
      </c>
      <c r="J73" s="37" t="s">
        <v>591</v>
      </c>
      <c r="K73" s="37" t="s">
        <v>592</v>
      </c>
      <c r="L73" s="37" t="s">
        <v>72</v>
      </c>
      <c r="M73" s="37">
        <v>2021</v>
      </c>
      <c r="N73" s="37">
        <v>0</v>
      </c>
      <c r="O73" s="37">
        <v>150.26</v>
      </c>
      <c r="P73" s="37"/>
    </row>
    <row r="74" spans="1:16" ht="11.25" customHeight="1" x14ac:dyDescent="0.25">
      <c r="A74" s="37">
        <v>73</v>
      </c>
      <c r="B74" s="37" t="s">
        <v>446</v>
      </c>
      <c r="C74" s="37" t="s">
        <v>43</v>
      </c>
      <c r="D74" s="37" t="s">
        <v>41</v>
      </c>
      <c r="E74" s="37" t="s">
        <v>44</v>
      </c>
      <c r="F74" s="37" t="s">
        <v>25</v>
      </c>
      <c r="G74" s="37" t="s">
        <v>25</v>
      </c>
      <c r="H74" s="37" t="s">
        <v>25</v>
      </c>
      <c r="I74" s="37" t="s">
        <v>38</v>
      </c>
      <c r="J74" s="37" t="s">
        <v>591</v>
      </c>
      <c r="K74" s="37" t="s">
        <v>592</v>
      </c>
      <c r="L74" s="37" t="s">
        <v>72</v>
      </c>
      <c r="M74" s="37">
        <v>2021</v>
      </c>
      <c r="N74" s="37">
        <v>0</v>
      </c>
      <c r="O74" s="37">
        <v>288.63</v>
      </c>
      <c r="P74" s="37">
        <v>45.731730099707001</v>
      </c>
    </row>
    <row r="75" spans="1:16" ht="11.25" customHeight="1" x14ac:dyDescent="0.25">
      <c r="A75" s="37">
        <v>74</v>
      </c>
      <c r="B75" s="37" t="s">
        <v>446</v>
      </c>
      <c r="C75" s="37" t="s">
        <v>43</v>
      </c>
      <c r="D75" s="37" t="s">
        <v>41</v>
      </c>
      <c r="E75" s="37" t="s">
        <v>44</v>
      </c>
      <c r="F75" s="37" t="s">
        <v>25</v>
      </c>
      <c r="G75" s="37" t="s">
        <v>25</v>
      </c>
      <c r="H75" s="37" t="s">
        <v>25</v>
      </c>
      <c r="I75" s="37" t="s">
        <v>37</v>
      </c>
      <c r="J75" s="37" t="s">
        <v>591</v>
      </c>
      <c r="K75" s="37" t="s">
        <v>592</v>
      </c>
      <c r="L75" s="37" t="s">
        <v>72</v>
      </c>
      <c r="M75" s="37">
        <v>2021</v>
      </c>
      <c r="N75" s="37">
        <v>0</v>
      </c>
      <c r="O75" s="37">
        <v>1167.6400000000001</v>
      </c>
      <c r="P75" s="37">
        <v>45.731730099707001</v>
      </c>
    </row>
    <row r="76" spans="1:16" ht="11.25" customHeight="1" x14ac:dyDescent="0.25">
      <c r="A76" s="37">
        <v>75</v>
      </c>
      <c r="B76" s="37" t="s">
        <v>446</v>
      </c>
      <c r="C76" s="37" t="s">
        <v>43</v>
      </c>
      <c r="D76" s="37" t="s">
        <v>87</v>
      </c>
      <c r="E76" s="37" t="s">
        <v>44</v>
      </c>
      <c r="F76" s="37" t="s">
        <v>25</v>
      </c>
      <c r="G76" s="37" t="s">
        <v>25</v>
      </c>
      <c r="H76" s="37" t="s">
        <v>25</v>
      </c>
      <c r="I76" s="37" t="s">
        <v>25</v>
      </c>
      <c r="J76" s="37" t="s">
        <v>591</v>
      </c>
      <c r="K76" s="37" t="s">
        <v>592</v>
      </c>
      <c r="L76" s="37" t="s">
        <v>72</v>
      </c>
      <c r="M76" s="37">
        <v>2021</v>
      </c>
      <c r="N76" s="37">
        <v>0</v>
      </c>
      <c r="O76" s="37">
        <v>441.31</v>
      </c>
      <c r="P76" s="37">
        <v>45.731730099707001</v>
      </c>
    </row>
    <row r="77" spans="1:16" ht="11.25" customHeight="1" x14ac:dyDescent="0.25">
      <c r="A77" s="37">
        <v>76</v>
      </c>
      <c r="B77" s="37" t="s">
        <v>474</v>
      </c>
      <c r="C77" s="37" t="s">
        <v>22</v>
      </c>
      <c r="D77" s="37" t="s">
        <v>71</v>
      </c>
      <c r="E77" s="37" t="s">
        <v>24</v>
      </c>
      <c r="F77" s="37" t="s">
        <v>24</v>
      </c>
      <c r="G77" s="37" t="s">
        <v>25</v>
      </c>
      <c r="H77" s="37" t="s">
        <v>25</v>
      </c>
      <c r="I77" s="37" t="s">
        <v>42</v>
      </c>
      <c r="J77" s="37" t="s">
        <v>591</v>
      </c>
      <c r="K77" s="37" t="s">
        <v>592</v>
      </c>
      <c r="L77" s="37" t="s">
        <v>72</v>
      </c>
      <c r="M77" s="37">
        <v>2021</v>
      </c>
      <c r="N77" s="37">
        <v>0</v>
      </c>
      <c r="O77" s="37">
        <v>150.26</v>
      </c>
      <c r="P77" s="37"/>
    </row>
    <row r="78" spans="1:16" ht="11.25" customHeight="1" x14ac:dyDescent="0.25">
      <c r="A78" s="37">
        <v>77</v>
      </c>
      <c r="B78" s="37" t="s">
        <v>446</v>
      </c>
      <c r="C78" s="37" t="s">
        <v>22</v>
      </c>
      <c r="D78" s="37" t="s">
        <v>23</v>
      </c>
      <c r="E78" s="37" t="s">
        <v>24</v>
      </c>
      <c r="F78" s="37" t="s">
        <v>29</v>
      </c>
      <c r="G78" s="37" t="s">
        <v>25</v>
      </c>
      <c r="H78" s="37" t="s">
        <v>25</v>
      </c>
      <c r="I78" s="37" t="s">
        <v>25</v>
      </c>
      <c r="J78" s="37" t="s">
        <v>591</v>
      </c>
      <c r="K78" s="37" t="s">
        <v>592</v>
      </c>
      <c r="L78" s="37" t="s">
        <v>72</v>
      </c>
      <c r="M78" s="37">
        <v>2021</v>
      </c>
      <c r="N78" s="37">
        <v>0</v>
      </c>
      <c r="O78" s="37">
        <v>154.44999999999999</v>
      </c>
      <c r="P78" s="37">
        <v>0</v>
      </c>
    </row>
    <row r="79" spans="1:16" ht="11.25" customHeight="1" x14ac:dyDescent="0.25">
      <c r="A79" s="37">
        <v>78</v>
      </c>
      <c r="B79" s="37" t="s">
        <v>446</v>
      </c>
      <c r="C79" s="37" t="s">
        <v>43</v>
      </c>
      <c r="D79" s="37" t="s">
        <v>41</v>
      </c>
      <c r="E79" s="37" t="s">
        <v>44</v>
      </c>
      <c r="F79" s="37" t="s">
        <v>89</v>
      </c>
      <c r="G79" s="37" t="s">
        <v>25</v>
      </c>
      <c r="H79" s="37" t="s">
        <v>25</v>
      </c>
      <c r="I79" s="37" t="s">
        <v>37</v>
      </c>
      <c r="J79" s="37" t="s">
        <v>591</v>
      </c>
      <c r="K79" s="37" t="s">
        <v>592</v>
      </c>
      <c r="L79" s="37" t="s">
        <v>72</v>
      </c>
      <c r="M79" s="37">
        <v>2021</v>
      </c>
      <c r="N79" s="37">
        <v>0</v>
      </c>
      <c r="O79" s="37">
        <v>1114.56</v>
      </c>
      <c r="P79" s="37">
        <v>43.653015095174901</v>
      </c>
    </row>
    <row r="80" spans="1:16" ht="11.25" customHeight="1" x14ac:dyDescent="0.25">
      <c r="A80" s="37">
        <v>79</v>
      </c>
      <c r="B80" s="37" t="s">
        <v>446</v>
      </c>
      <c r="C80" s="37" t="s">
        <v>46</v>
      </c>
      <c r="D80" s="37" t="s">
        <v>23</v>
      </c>
      <c r="E80" s="37" t="s">
        <v>47</v>
      </c>
      <c r="F80" s="37" t="s">
        <v>90</v>
      </c>
      <c r="G80" s="37" t="s">
        <v>25</v>
      </c>
      <c r="H80" s="37" t="s">
        <v>25</v>
      </c>
      <c r="I80" s="37" t="s">
        <v>25</v>
      </c>
      <c r="J80" s="37" t="s">
        <v>591</v>
      </c>
      <c r="K80" s="37" t="s">
        <v>592</v>
      </c>
      <c r="L80" s="37" t="s">
        <v>72</v>
      </c>
      <c r="M80" s="37">
        <v>2021</v>
      </c>
      <c r="N80" s="37">
        <v>0</v>
      </c>
      <c r="O80" s="37">
        <v>300.89</v>
      </c>
      <c r="P80" s="37">
        <v>31.180725067981999</v>
      </c>
    </row>
    <row r="81" spans="1:16" ht="11.25" customHeight="1" x14ac:dyDescent="0.25">
      <c r="A81" s="37">
        <v>80</v>
      </c>
      <c r="B81" s="37" t="s">
        <v>474</v>
      </c>
      <c r="C81" s="37" t="s">
        <v>22</v>
      </c>
      <c r="D81" s="37" t="s">
        <v>71</v>
      </c>
      <c r="E81" s="37" t="s">
        <v>24</v>
      </c>
      <c r="F81" s="37" t="s">
        <v>24</v>
      </c>
      <c r="G81" s="37" t="s">
        <v>25</v>
      </c>
      <c r="H81" s="37" t="s">
        <v>25</v>
      </c>
      <c r="I81" s="37" t="s">
        <v>37</v>
      </c>
      <c r="J81" s="37" t="s">
        <v>591</v>
      </c>
      <c r="K81" s="37" t="s">
        <v>592</v>
      </c>
      <c r="L81" s="37" t="s">
        <v>72</v>
      </c>
      <c r="M81" s="37">
        <v>2021</v>
      </c>
      <c r="N81" s="37">
        <v>0</v>
      </c>
      <c r="O81" s="37">
        <v>150.26</v>
      </c>
      <c r="P81" s="37"/>
    </row>
    <row r="82" spans="1:16" ht="11.25" customHeight="1" x14ac:dyDescent="0.25">
      <c r="A82" s="37">
        <v>81</v>
      </c>
      <c r="B82" s="37" t="s">
        <v>446</v>
      </c>
      <c r="C82" s="37" t="s">
        <v>33</v>
      </c>
      <c r="D82" s="37" t="s">
        <v>41</v>
      </c>
      <c r="E82" s="37" t="s">
        <v>25</v>
      </c>
      <c r="F82" s="37" t="s">
        <v>25</v>
      </c>
      <c r="G82" s="37" t="s">
        <v>25</v>
      </c>
      <c r="H82" s="37" t="s">
        <v>25</v>
      </c>
      <c r="I82" s="37" t="s">
        <v>37</v>
      </c>
      <c r="J82" s="37" t="s">
        <v>591</v>
      </c>
      <c r="K82" s="37" t="s">
        <v>592</v>
      </c>
      <c r="L82" s="37" t="s">
        <v>72</v>
      </c>
      <c r="M82" s="37">
        <v>2021</v>
      </c>
      <c r="N82" s="37">
        <v>0</v>
      </c>
      <c r="O82" s="37">
        <v>1538.51</v>
      </c>
      <c r="P82" s="37">
        <v>51.9678751133034</v>
      </c>
    </row>
    <row r="83" spans="1:16" ht="11.25" customHeight="1" x14ac:dyDescent="0.25">
      <c r="A83" s="37">
        <v>82</v>
      </c>
      <c r="B83" s="37" t="s">
        <v>446</v>
      </c>
      <c r="C83" s="37" t="s">
        <v>43</v>
      </c>
      <c r="D83" s="37" t="s">
        <v>87</v>
      </c>
      <c r="E83" s="37" t="s">
        <v>44</v>
      </c>
      <c r="F83" s="37" t="s">
        <v>88</v>
      </c>
      <c r="G83" s="37" t="s">
        <v>25</v>
      </c>
      <c r="H83" s="37" t="s">
        <v>25</v>
      </c>
      <c r="I83" s="37" t="s">
        <v>25</v>
      </c>
      <c r="J83" s="37" t="s">
        <v>591</v>
      </c>
      <c r="K83" s="37" t="s">
        <v>592</v>
      </c>
      <c r="L83" s="37" t="s">
        <v>72</v>
      </c>
      <c r="M83" s="37">
        <v>2021</v>
      </c>
      <c r="N83" s="37">
        <v>0</v>
      </c>
      <c r="O83" s="37">
        <v>441.31</v>
      </c>
      <c r="P83" s="37">
        <v>45.731730099707001</v>
      </c>
    </row>
    <row r="84" spans="1:16" ht="11.25" customHeight="1" x14ac:dyDescent="0.25">
      <c r="A84" s="37">
        <v>83</v>
      </c>
      <c r="B84" s="37" t="s">
        <v>474</v>
      </c>
      <c r="C84" s="37" t="s">
        <v>22</v>
      </c>
      <c r="D84" s="37" t="s">
        <v>85</v>
      </c>
      <c r="E84" s="37" t="s">
        <v>24</v>
      </c>
      <c r="F84" s="37" t="s">
        <v>24</v>
      </c>
      <c r="G84" s="37" t="s">
        <v>25</v>
      </c>
      <c r="H84" s="37" t="s">
        <v>25</v>
      </c>
      <c r="I84" s="37" t="s">
        <v>25</v>
      </c>
      <c r="J84" s="37" t="s">
        <v>591</v>
      </c>
      <c r="K84" s="37" t="s">
        <v>592</v>
      </c>
      <c r="L84" s="37" t="s">
        <v>72</v>
      </c>
      <c r="M84" s="37">
        <v>2021</v>
      </c>
      <c r="N84" s="37">
        <v>0</v>
      </c>
      <c r="O84" s="37">
        <v>150.26</v>
      </c>
      <c r="P84" s="37"/>
    </row>
    <row r="85" spans="1:16" ht="11.25" customHeight="1" x14ac:dyDescent="0.25">
      <c r="A85" s="37">
        <v>84</v>
      </c>
      <c r="B85" s="37" t="s">
        <v>474</v>
      </c>
      <c r="C85" s="37" t="s">
        <v>22</v>
      </c>
      <c r="D85" s="37" t="s">
        <v>85</v>
      </c>
      <c r="E85" s="37" t="s">
        <v>24</v>
      </c>
      <c r="F85" s="37" t="s">
        <v>29</v>
      </c>
      <c r="G85" s="37" t="s">
        <v>25</v>
      </c>
      <c r="H85" s="37" t="s">
        <v>25</v>
      </c>
      <c r="I85" s="37" t="s">
        <v>25</v>
      </c>
      <c r="J85" s="37" t="s">
        <v>591</v>
      </c>
      <c r="K85" s="37" t="s">
        <v>592</v>
      </c>
      <c r="L85" s="37" t="s">
        <v>72</v>
      </c>
      <c r="M85" s="37">
        <v>2021</v>
      </c>
      <c r="N85" s="37">
        <v>0</v>
      </c>
      <c r="O85" s="37">
        <v>52.59</v>
      </c>
      <c r="P85" s="37"/>
    </row>
    <row r="86" spans="1:16" ht="11.25" customHeight="1" x14ac:dyDescent="0.25">
      <c r="A86" s="37">
        <v>85</v>
      </c>
      <c r="B86" s="37" t="s">
        <v>474</v>
      </c>
      <c r="C86" s="37" t="s">
        <v>22</v>
      </c>
      <c r="D86" s="37" t="s">
        <v>85</v>
      </c>
      <c r="E86" s="37" t="s">
        <v>24</v>
      </c>
      <c r="F86" s="37" t="s">
        <v>30</v>
      </c>
      <c r="G86" s="37" t="s">
        <v>25</v>
      </c>
      <c r="H86" s="37" t="s">
        <v>25</v>
      </c>
      <c r="I86" s="37" t="s">
        <v>25</v>
      </c>
      <c r="J86" s="37" t="s">
        <v>591</v>
      </c>
      <c r="K86" s="37" t="s">
        <v>592</v>
      </c>
      <c r="L86" s="37" t="s">
        <v>72</v>
      </c>
      <c r="M86" s="37">
        <v>2021</v>
      </c>
      <c r="N86" s="37">
        <v>0</v>
      </c>
      <c r="O86" s="37">
        <v>90.16</v>
      </c>
      <c r="P86" s="37"/>
    </row>
    <row r="87" spans="1:16" ht="11.25" customHeight="1" x14ac:dyDescent="0.25">
      <c r="A87" s="37">
        <v>86</v>
      </c>
      <c r="B87" s="37" t="s">
        <v>474</v>
      </c>
      <c r="C87" s="37" t="s">
        <v>22</v>
      </c>
      <c r="D87" s="37" t="s">
        <v>85</v>
      </c>
      <c r="E87" s="37" t="s">
        <v>24</v>
      </c>
      <c r="F87" s="37" t="s">
        <v>31</v>
      </c>
      <c r="G87" s="37" t="s">
        <v>25</v>
      </c>
      <c r="H87" s="37" t="s">
        <v>25</v>
      </c>
      <c r="I87" s="37" t="s">
        <v>25</v>
      </c>
      <c r="J87" s="37" t="s">
        <v>591</v>
      </c>
      <c r="K87" s="37" t="s">
        <v>592</v>
      </c>
      <c r="L87" s="37" t="s">
        <v>72</v>
      </c>
      <c r="M87" s="37">
        <v>2021</v>
      </c>
      <c r="N87" s="37">
        <v>0</v>
      </c>
      <c r="O87" s="37">
        <v>135.24</v>
      </c>
      <c r="P87" s="37"/>
    </row>
    <row r="88" spans="1:16" ht="11.25" customHeight="1" x14ac:dyDescent="0.25">
      <c r="A88" s="37">
        <v>87</v>
      </c>
      <c r="B88" s="37" t="s">
        <v>474</v>
      </c>
      <c r="C88" s="37" t="s">
        <v>22</v>
      </c>
      <c r="D88" s="37" t="s">
        <v>85</v>
      </c>
      <c r="E88" s="37" t="s">
        <v>24</v>
      </c>
      <c r="F88" s="37" t="s">
        <v>32</v>
      </c>
      <c r="G88" s="37" t="s">
        <v>25</v>
      </c>
      <c r="H88" s="37" t="s">
        <v>25</v>
      </c>
      <c r="I88" s="37" t="s">
        <v>25</v>
      </c>
      <c r="J88" s="37" t="s">
        <v>591</v>
      </c>
      <c r="K88" s="37" t="s">
        <v>592</v>
      </c>
      <c r="L88" s="37" t="s">
        <v>72</v>
      </c>
      <c r="M88" s="37">
        <v>2021</v>
      </c>
      <c r="N88" s="37">
        <v>0</v>
      </c>
      <c r="O88" s="37">
        <v>150.26</v>
      </c>
      <c r="P88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B91-19C2-4680-A356-D9DD133A0CED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36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76</v>
      </c>
      <c r="H2" s="13" t="s">
        <v>75</v>
      </c>
      <c r="I2" s="13">
        <f>SUMIF(Mercado_Receita!$S$2:$S$548,"44440A4AzulNão se aplicaNão se aplicaNão se aplicaNão se aplicaPonta",Mercado_Receita!$J$2:$J$548)+SUMIF(Mercado_Receita!$S$2:$S$548,"44440A4AzulNão se aplicaNão se aplicaAPENão se aplicaPonta",Mercado_Receita!$J$2:$J$548)</f>
        <v>1227</v>
      </c>
      <c r="J2" s="13">
        <f>SUMIF(Mercado_Receita!$S$2:$S$548,"44470A4AzulNão se aplicaNão se aplicaNão se aplicaNão se aplicaPonta",Mercado_Receita!$J$2:$J$548)+SUMIF(Mercado_Receita!$S$2:$S$548,"44470A4AzulNão se aplicaNão se aplicaAPENão se aplicaPonta",Mercado_Receita!$J$2:$J$548)</f>
        <v>1273</v>
      </c>
      <c r="K2" s="13">
        <f>SUMIF(Mercado_Receita!$S$2:$S$548,"44501A4AzulNão se aplicaNão se aplicaNão se aplicaNão se aplicaPonta",Mercado_Receita!$J$2:$J$548)+SUMIF(Mercado_Receita!$S$2:$S$548,"44501A4AzulNão se aplicaNão se aplicaAPENão se aplicaPonta",Mercado_Receita!$J$2:$J$548)</f>
        <v>1239</v>
      </c>
      <c r="L2" s="13">
        <f>SUMIF(Mercado_Receita!$S$2:$S$548,"44531A4AzulNão se aplicaNão se aplicaNão se aplicaNão se aplicaPonta",Mercado_Receita!$J$2:$J$548)+SUMIF(Mercado_Receita!$S$2:$S$548,"44531A4AzulNão se aplicaNão se aplicaAPENão se aplicaPonta",Mercado_Receita!$J$2:$J$548)</f>
        <v>1335</v>
      </c>
      <c r="M2" s="13">
        <f>SUMIF(Mercado_Receita!$S$2:$S$548,"44562A4AzulNão se aplicaNão se aplicaNão se aplicaNão se aplicaPonta",Mercado_Receita!$J$2:$J$548)+SUMIF(Mercado_Receita!$S$2:$S$548,"44562A4AzulNão se aplicaNão se aplicaAPENão se aplicaPonta",Mercado_Receita!$J$2:$J$548)</f>
        <v>965</v>
      </c>
      <c r="N2" s="13">
        <f>SUMIF(Mercado_Receita!$S$2:$S$548,"44593A4AzulNão se aplicaNão se aplicaNão se aplicaNão se aplicaPonta",Mercado_Receita!$J$2:$J$548)+SUMIF(Mercado_Receita!$S$2:$S$548,"44593A4AzulNão se aplicaNão se aplicaAPENão se aplicaPonta",Mercado_Receita!$J$2:$J$548)</f>
        <v>108</v>
      </c>
      <c r="O2" s="13">
        <f>SUMIF(Mercado_Receita!$S$2:$S$548,"44621A4AzulNão se aplicaNão se aplicaNão se aplicaNão se aplicaPonta",Mercado_Receita!$J$2:$J$548)+SUMIF(Mercado_Receita!$S$2:$S$548,"44621A4AzulNão se aplicaNão se aplicaAPENão se aplicaPonta",Mercado_Receita!$J$2:$J$548)</f>
        <v>211</v>
      </c>
      <c r="P2" s="13">
        <f>SUMIF(Mercado_Receita!$S$2:$S$548,"44652A4AzulNão se aplicaNão se aplicaNão se aplicaNão se aplicaPonta",Mercado_Receita!$J$2:$J$548)+SUMIF(Mercado_Receita!$S$2:$S$548,"44652A4AzulNão se aplicaNão se aplicaAPENão se aplicaPonta",Mercado_Receita!$J$2:$J$548)</f>
        <v>298</v>
      </c>
      <c r="Q2" s="13">
        <f>SUMIF(Mercado_Receita!$S$2:$S$548,"44682A4AzulNão se aplicaNão se aplicaNão se aplicaNão se aplicaPonta",Mercado_Receita!$J$2:$J$548)+SUMIF(Mercado_Receita!$S$2:$S$548,"44682A4AzulNão se aplicaNão se aplicaAPENão se aplicaPonta",Mercado_Receita!$J$2:$J$548)</f>
        <v>100</v>
      </c>
      <c r="R2" s="13">
        <f>SUMIF(Mercado_Receita!$S$2:$S$548,"44713A4AzulNão se aplicaNão se aplicaNão se aplicaNão se aplicaPonta",Mercado_Receita!$J$2:$J$548)+SUMIF(Mercado_Receita!$S$2:$S$548,"44713A4AzulNão se aplicaNão se aplicaAPENão se aplicaPonta",Mercado_Receita!$J$2:$J$548)</f>
        <v>105</v>
      </c>
      <c r="S2" s="13">
        <f>SUMIF(Mercado_Receita!$S$2:$S$548,"44743A4AzulNão se aplicaNão se aplicaNão se aplicaNão se aplicaPonta",Mercado_Receita!$J$2:$J$548)+SUMIF(Mercado_Receita!$S$2:$S$548,"44743A4AzulNão se aplicaNão se aplicaAPENão se aplicaPonta",Mercado_Receita!$J$2:$J$548)</f>
        <v>105</v>
      </c>
      <c r="T2" s="13">
        <f>SUMIF(Mercado_Receita!$S$2:$S$548,"44774A4AzulNão se aplicaNão se aplicaNão se aplicaNão se aplicaPonta",Mercado_Receita!$J$2:$J$548)+SUMIF(Mercado_Receita!$S$2:$S$548,"44774A4AzulNão se aplicaNão se aplicaAPENão se aplicaPonta",Mercado_Receita!$J$2:$J$548)</f>
        <v>105</v>
      </c>
      <c r="U2" s="13">
        <f t="shared" ref="U2:U48" si="0">SUM(I2:T2)</f>
        <v>7071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77</v>
      </c>
      <c r="H3" s="13" t="s">
        <v>75</v>
      </c>
      <c r="I3" s="13">
        <f>SUMIF(Mercado_Receita!$S$2:$S$548,"44440A4AzulNão se aplicaNão se aplicaNão se aplicaNão se aplicaFora ponta",Mercado_Receita!$J$2:$J$548)+SUMIF(Mercado_Receita!$S$2:$S$548,"44440A4AzulNão se aplicaNão se aplicaAPENão se aplicaFora ponta",Mercado_Receita!$J$2:$J$548)</f>
        <v>3256</v>
      </c>
      <c r="J3" s="13">
        <f>SUMIF(Mercado_Receita!$S$2:$S$548,"44470A4AzulNão se aplicaNão se aplicaNão se aplicaNão se aplicaFora ponta",Mercado_Receita!$J$2:$J$548)+SUMIF(Mercado_Receita!$S$2:$S$548,"44470A4AzulNão se aplicaNão se aplicaAPENão se aplicaFora ponta",Mercado_Receita!$J$2:$J$548)</f>
        <v>3485</v>
      </c>
      <c r="K3" s="13">
        <f>SUMIF(Mercado_Receita!$S$2:$S$548,"44501A4AzulNão se aplicaNão se aplicaNão se aplicaNão se aplicaFora ponta",Mercado_Receita!$J$2:$J$548)+SUMIF(Mercado_Receita!$S$2:$S$548,"44501A4AzulNão se aplicaNão se aplicaAPENão se aplicaFora ponta",Mercado_Receita!$J$2:$J$548)</f>
        <v>3686</v>
      </c>
      <c r="L3" s="13">
        <f>SUMIF(Mercado_Receita!$S$2:$S$548,"44531A4AzulNão se aplicaNão se aplicaNão se aplicaNão se aplicaFora ponta",Mercado_Receita!$J$2:$J$548)+SUMIF(Mercado_Receita!$S$2:$S$548,"44531A4AzulNão se aplicaNão se aplicaAPENão se aplicaFora ponta",Mercado_Receita!$J$2:$J$548)</f>
        <v>3685</v>
      </c>
      <c r="M3" s="13">
        <f>SUMIF(Mercado_Receita!$S$2:$S$548,"44562A4AzulNão se aplicaNão se aplicaNão se aplicaNão se aplicaFora ponta",Mercado_Receita!$J$2:$J$548)+SUMIF(Mercado_Receita!$S$2:$S$548,"44562A4AzulNão se aplicaNão se aplicaAPENão se aplicaFora ponta",Mercado_Receita!$J$2:$J$548)</f>
        <v>3450</v>
      </c>
      <c r="N3" s="13">
        <f>SUMIF(Mercado_Receita!$S$2:$S$548,"44593A4AzulNão se aplicaNão se aplicaNão se aplicaNão se aplicaFora ponta",Mercado_Receita!$J$2:$J$548)+SUMIF(Mercado_Receita!$S$2:$S$548,"44593A4AzulNão se aplicaNão se aplicaAPENão se aplicaFora ponta",Mercado_Receita!$J$2:$J$548)</f>
        <v>4000</v>
      </c>
      <c r="O3" s="13">
        <f>SUMIF(Mercado_Receita!$S$2:$S$548,"44621A4AzulNão se aplicaNão se aplicaNão se aplicaNão se aplicaFora ponta",Mercado_Receita!$J$2:$J$548)+SUMIF(Mercado_Receita!$S$2:$S$548,"44621A4AzulNão se aplicaNão se aplicaAPENão se aplicaFora ponta",Mercado_Receita!$J$2:$J$548)</f>
        <v>3950</v>
      </c>
      <c r="P3" s="13">
        <f>SUMIF(Mercado_Receita!$S$2:$S$548,"44652A4AzulNão se aplicaNão se aplicaNão se aplicaNão se aplicaFora ponta",Mercado_Receita!$J$2:$J$548)+SUMIF(Mercado_Receita!$S$2:$S$548,"44652A4AzulNão se aplicaNão se aplicaAPENão se aplicaFora ponta",Mercado_Receita!$J$2:$J$548)</f>
        <v>3402</v>
      </c>
      <c r="Q3" s="13">
        <f>SUMIF(Mercado_Receita!$S$2:$S$548,"44682A4AzulNão se aplicaNão se aplicaNão se aplicaNão se aplicaFora ponta",Mercado_Receita!$J$2:$J$548)+SUMIF(Mercado_Receita!$S$2:$S$548,"44682A4AzulNão se aplicaNão se aplicaAPENão se aplicaFora ponta",Mercado_Receita!$J$2:$J$548)</f>
        <v>3128</v>
      </c>
      <c r="R3" s="13">
        <f>SUMIF(Mercado_Receita!$S$2:$S$548,"44713A4AzulNão se aplicaNão se aplicaNão se aplicaNão se aplicaFora ponta",Mercado_Receita!$J$2:$J$548)+SUMIF(Mercado_Receita!$S$2:$S$548,"44713A4AzulNão se aplicaNão se aplicaAPENão se aplicaFora ponta",Mercado_Receita!$J$2:$J$548)</f>
        <v>3730</v>
      </c>
      <c r="S3" s="13">
        <f>SUMIF(Mercado_Receita!$S$2:$S$548,"44743A4AzulNão se aplicaNão se aplicaNão se aplicaNão se aplicaFora ponta",Mercado_Receita!$J$2:$J$548)+SUMIF(Mercado_Receita!$S$2:$S$548,"44743A4AzulNão se aplicaNão se aplicaAPENão se aplicaFora ponta",Mercado_Receita!$J$2:$J$548)</f>
        <v>3995</v>
      </c>
      <c r="T3" s="13">
        <f>SUMIF(Mercado_Receita!$S$2:$S$548,"44774A4AzulNão se aplicaNão se aplicaNão se aplicaNão se aplicaFora ponta",Mercado_Receita!$J$2:$J$548)+SUMIF(Mercado_Receita!$S$2:$S$548,"44774A4AzulNão se aplicaNão se aplicaAPENão se aplicaFora ponta",Mercado_Receita!$J$2:$J$548)</f>
        <v>3995</v>
      </c>
      <c r="U3" s="13">
        <f t="shared" si="0"/>
        <v>43762</v>
      </c>
      <c r="V3" s="13"/>
      <c r="W3" s="13"/>
    </row>
    <row r="4" spans="1:30" ht="11.25" customHeight="1" x14ac:dyDescent="0.25">
      <c r="A4" s="77"/>
      <c r="B4" s="77"/>
      <c r="C4" s="77"/>
      <c r="D4" s="77"/>
      <c r="E4" s="77"/>
      <c r="F4" s="77"/>
      <c r="G4" s="13" t="s">
        <v>78</v>
      </c>
      <c r="H4" s="13" t="s">
        <v>72</v>
      </c>
      <c r="I4" s="13">
        <f>SUMIF(Mercado_Receita!$S$2:$S$548,"44440A4AzulNão se aplicaNão se aplicaNão se aplicaNão se aplicaPonta",Mercado_Receita!$L$2:$L$548)+SUMIF(Mercado_Receita!$S$2:$S$548,"44440A4AzulNão se aplicaNão se aplicaNão se aplicaNão se aplicaFora ponta",Mercado_Receita!$L$2:$L$548)+SUMIF(Mercado_Receita!$S$2:$S$548,"44440A4AzulNão se aplicaNão se aplicaNão se aplicaNão se aplicaIntermediário",Mercado_Receita!$L$2:$L$548)+SUMIF(Mercado_Receita!$S$2:$S$548,"44440A4AzulNão se aplicaNão se aplicaNão se aplicaNão se aplicaNão se aplica",Mercado_Receita!$L$2:$L$548)</f>
        <v>1501.114</v>
      </c>
      <c r="J4" s="13">
        <f>SUMIF(Mercado_Receita!$S$2:$S$548,"44470A4AzulNão se aplicaNão se aplicaNão se aplicaNão se aplicaPonta",Mercado_Receita!$L$2:$L$548)+SUMIF(Mercado_Receita!$S$2:$S$548,"44470A4AzulNão se aplicaNão se aplicaNão se aplicaNão se aplicaFora ponta",Mercado_Receita!$L$2:$L$548)+SUMIF(Mercado_Receita!$S$2:$S$548,"44470A4AzulNão se aplicaNão se aplicaNão se aplicaNão se aplicaIntermediário",Mercado_Receita!$L$2:$L$548)+SUMIF(Mercado_Receita!$S$2:$S$548,"44470A4AzulNão se aplicaNão se aplicaNão se aplicaNão se aplicaNão se aplica",Mercado_Receita!$L$2:$L$548)</f>
        <v>1598.4779999999998</v>
      </c>
      <c r="K4" s="13">
        <f>SUMIF(Mercado_Receita!$S$2:$S$548,"44501A4AzulNão se aplicaNão se aplicaNão se aplicaNão se aplicaPonta",Mercado_Receita!$L$2:$L$548)+SUMIF(Mercado_Receita!$S$2:$S$548,"44501A4AzulNão se aplicaNão se aplicaNão se aplicaNão se aplicaFora ponta",Mercado_Receita!$L$2:$L$548)+SUMIF(Mercado_Receita!$S$2:$S$548,"44501A4AzulNão se aplicaNão se aplicaNão se aplicaNão se aplicaIntermediário",Mercado_Receita!$L$2:$L$548)+SUMIF(Mercado_Receita!$S$2:$S$548,"44501A4AzulNão se aplicaNão se aplicaNão se aplicaNão se aplicaNão se aplica",Mercado_Receita!$L$2:$L$548)</f>
        <v>1651.6679999999999</v>
      </c>
      <c r="L4" s="13">
        <f>SUMIF(Mercado_Receita!$S$2:$S$548,"44531A4AzulNão se aplicaNão se aplicaNão se aplicaNão se aplicaPonta",Mercado_Receita!$L$2:$L$548)+SUMIF(Mercado_Receita!$S$2:$S$548,"44531A4AzulNão se aplicaNão se aplicaNão se aplicaNão se aplicaFora ponta",Mercado_Receita!$L$2:$L$548)+SUMIF(Mercado_Receita!$S$2:$S$548,"44531A4AzulNão se aplicaNão se aplicaNão se aplicaNão se aplicaIntermediário",Mercado_Receita!$L$2:$L$548)+SUMIF(Mercado_Receita!$S$2:$S$548,"44531A4AzulNão se aplicaNão se aplicaNão se aplicaNão se aplicaNão se aplica",Mercado_Receita!$L$2:$L$548)</f>
        <v>1382.6979999999999</v>
      </c>
      <c r="M4" s="13">
        <f>SUMIF(Mercado_Receita!$S$2:$S$548,"44562A4AzulNão se aplicaNão se aplicaNão se aplicaNão se aplicaPonta",Mercado_Receita!$L$2:$L$548)+SUMIF(Mercado_Receita!$S$2:$S$548,"44562A4AzulNão se aplicaNão se aplicaNão se aplicaNão se aplicaFora ponta",Mercado_Receita!$L$2:$L$548)+SUMIF(Mercado_Receita!$S$2:$S$548,"44562A4AzulNão se aplicaNão se aplicaNão se aplicaNão se aplicaIntermediário",Mercado_Receita!$L$2:$L$548)+SUMIF(Mercado_Receita!$S$2:$S$548,"44562A4AzulNão se aplicaNão se aplicaNão se aplicaNão se aplicaNão se aplica",Mercado_Receita!$L$2:$L$548)</f>
        <v>1343.8430000000001</v>
      </c>
      <c r="N4" s="13">
        <f>SUMIF(Mercado_Receita!$S$2:$S$548,"44593A4AzulNão se aplicaNão se aplicaNão se aplicaNão se aplicaPonta",Mercado_Receita!$L$2:$L$548)+SUMIF(Mercado_Receita!$S$2:$S$548,"44593A4AzulNão se aplicaNão se aplicaNão se aplicaNão se aplicaFora ponta",Mercado_Receita!$L$2:$L$548)+SUMIF(Mercado_Receita!$S$2:$S$548,"44593A4AzulNão se aplicaNão se aplicaNão se aplicaNão se aplicaIntermediário",Mercado_Receita!$L$2:$L$548)+SUMIF(Mercado_Receita!$S$2:$S$548,"44593A4AzulNão se aplicaNão se aplicaNão se aplicaNão se aplicaNão se aplica",Mercado_Receita!$L$2:$L$548)</f>
        <v>1245.3579999999999</v>
      </c>
      <c r="O4" s="13">
        <f>SUMIF(Mercado_Receita!$S$2:$S$548,"44621A4AzulNão se aplicaNão se aplicaNão se aplicaNão se aplicaPonta",Mercado_Receita!$L$2:$L$548)+SUMIF(Mercado_Receita!$S$2:$S$548,"44621A4AzulNão se aplicaNão se aplicaNão se aplicaNão se aplicaFora ponta",Mercado_Receita!$L$2:$L$548)+SUMIF(Mercado_Receita!$S$2:$S$548,"44621A4AzulNão se aplicaNão se aplicaNão se aplicaNão se aplicaIntermediário",Mercado_Receita!$L$2:$L$548)+SUMIF(Mercado_Receita!$S$2:$S$548,"44621A4AzulNão se aplicaNão se aplicaNão se aplicaNão se aplicaNão se aplica",Mercado_Receita!$L$2:$L$548)</f>
        <v>1082.1679999999999</v>
      </c>
      <c r="P4" s="13">
        <f>SUMIF(Mercado_Receita!$S$2:$S$548,"44652A4AzulNão se aplicaNão se aplicaNão se aplicaNão se aplicaPonta",Mercado_Receita!$L$2:$L$548)+SUMIF(Mercado_Receita!$S$2:$S$548,"44652A4AzulNão se aplicaNão se aplicaNão se aplicaNão se aplicaFora ponta",Mercado_Receita!$L$2:$L$548)+SUMIF(Mercado_Receita!$S$2:$S$548,"44652A4AzulNão se aplicaNão se aplicaNão se aplicaNão se aplicaIntermediário",Mercado_Receita!$L$2:$L$548)+SUMIF(Mercado_Receita!$S$2:$S$548,"44652A4AzulNão se aplicaNão se aplicaNão se aplicaNão se aplicaNão se aplica",Mercado_Receita!$L$2:$L$548)</f>
        <v>1135.992</v>
      </c>
      <c r="Q4" s="13">
        <f>SUMIF(Mercado_Receita!$S$2:$S$548,"44682A4AzulNão se aplicaNão se aplicaNão se aplicaNão se aplicaPonta",Mercado_Receita!$L$2:$L$548)+SUMIF(Mercado_Receita!$S$2:$S$548,"44682A4AzulNão se aplicaNão se aplicaNão se aplicaNão se aplicaFora ponta",Mercado_Receita!$L$2:$L$548)+SUMIF(Mercado_Receita!$S$2:$S$548,"44682A4AzulNão se aplicaNão se aplicaNão se aplicaNão se aplicaIntermediário",Mercado_Receita!$L$2:$L$548)+SUMIF(Mercado_Receita!$S$2:$S$548,"44682A4AzulNão se aplicaNão se aplicaNão se aplicaNão se aplicaNão se aplica",Mercado_Receita!$L$2:$L$548)</f>
        <v>1155.1180000000002</v>
      </c>
      <c r="R4" s="13">
        <f>SUMIF(Mercado_Receita!$S$2:$S$548,"44713A4AzulNão se aplicaNão se aplicaNão se aplicaNão se aplicaPonta",Mercado_Receita!$L$2:$L$548)+SUMIF(Mercado_Receita!$S$2:$S$548,"44713A4AzulNão se aplicaNão se aplicaNão se aplicaNão se aplicaFora ponta",Mercado_Receita!$L$2:$L$548)+SUMIF(Mercado_Receita!$S$2:$S$548,"44713A4AzulNão se aplicaNão se aplicaNão se aplicaNão se aplicaIntermediário",Mercado_Receita!$L$2:$L$548)+SUMIF(Mercado_Receita!$S$2:$S$548,"44713A4AzulNão se aplicaNão se aplicaNão se aplicaNão se aplicaNão se aplica",Mercado_Receita!$L$2:$L$548)</f>
        <v>1441.1519999999998</v>
      </c>
      <c r="S4" s="13">
        <f>SUMIF(Mercado_Receita!$S$2:$S$548,"44743A4AzulNão se aplicaNão se aplicaNão se aplicaNão se aplicaPonta",Mercado_Receita!$L$2:$L$548)+SUMIF(Mercado_Receita!$S$2:$S$548,"44743A4AzulNão se aplicaNão se aplicaNão se aplicaNão se aplicaFora ponta",Mercado_Receita!$L$2:$L$548)+SUMIF(Mercado_Receita!$S$2:$S$548,"44743A4AzulNão se aplicaNão se aplicaNão se aplicaNão se aplicaIntermediário",Mercado_Receita!$L$2:$L$548)+SUMIF(Mercado_Receita!$S$2:$S$548,"44743A4AzulNão se aplicaNão se aplicaNão se aplicaNão se aplicaNão se aplica",Mercado_Receita!$L$2:$L$548)</f>
        <v>1473.4580000000001</v>
      </c>
      <c r="T4" s="13">
        <f>SUMIF(Mercado_Receita!$S$2:$S$548,"44774A4AzulNão se aplicaNão se aplicaNão se aplicaNão se aplicaPonta",Mercado_Receita!$L$2:$L$548)+SUMIF(Mercado_Receita!$S$2:$S$548,"44774A4AzulNão se aplicaNão se aplicaNão se aplicaNão se aplicaFora ponta",Mercado_Receita!$L$2:$L$548)+SUMIF(Mercado_Receita!$S$2:$S$548,"44774A4AzulNão se aplicaNão se aplicaNão se aplicaNão se aplicaIntermediário",Mercado_Receita!$L$2:$L$548)+SUMIF(Mercado_Receita!$S$2:$S$548,"44774A4AzulNão se aplicaNão se aplicaNão se aplicaNão se aplicaNão se aplica",Mercado_Receita!$L$2:$L$548)</f>
        <v>1473.4580000000001</v>
      </c>
      <c r="U4" s="13">
        <f t="shared" si="0"/>
        <v>16484.504999999997</v>
      </c>
      <c r="V4" s="13"/>
      <c r="W4" s="13"/>
    </row>
    <row r="5" spans="1:30" ht="11.25" customHeight="1" x14ac:dyDescent="0.25">
      <c r="A5" s="77"/>
      <c r="B5" s="77"/>
      <c r="C5" s="77"/>
      <c r="D5" s="77"/>
      <c r="E5" s="12" t="s">
        <v>79</v>
      </c>
      <c r="F5" s="12" t="s">
        <v>25</v>
      </c>
      <c r="G5" s="13" t="s">
        <v>78</v>
      </c>
      <c r="H5" s="13" t="s">
        <v>72</v>
      </c>
      <c r="I5" s="13">
        <f>SUMIF(Mercado_Receita!$S$2:$S$548,"44440A4AzulNão se aplicaNão se aplicaAPENão se aplicaPonta",Mercado_Receita!$L$2:$L$548)+SUMIF(Mercado_Receita!$S$2:$S$548,"44440A4AzulNão se aplicaNão se aplicaAPENão se aplicaFora ponta",Mercado_Receita!$L$2:$L$548)+SUMIF(Mercado_Receita!$S$2:$S$548,"44440A4AzulNão se aplicaNão se aplicaAPENão se aplicaIntermediário",Mercado_Receita!$L$2:$L$548)+SUMIF(Mercado_Receita!$S$2:$S$548,"44440A4AzulNão se aplicaNão se aplicaAPENão se aplicaNão se aplica",Mercado_Receita!$L$2:$L$548)</f>
        <v>0</v>
      </c>
      <c r="J5" s="13">
        <f>SUMIF(Mercado_Receita!$S$2:$S$548,"44470A4AzulNão se aplicaNão se aplicaAPENão se aplicaPonta",Mercado_Receita!$L$2:$L$548)+SUMIF(Mercado_Receita!$S$2:$S$548,"44470A4AzulNão se aplicaNão se aplicaAPENão se aplicaFora ponta",Mercado_Receita!$L$2:$L$548)+SUMIF(Mercado_Receita!$S$2:$S$548,"44470A4AzulNão se aplicaNão se aplicaAPENão se aplicaIntermediário",Mercado_Receita!$L$2:$L$548)+SUMIF(Mercado_Receita!$S$2:$S$548,"44470A4AzulNão se aplicaNão se aplicaAPENão se aplicaNão se aplica",Mercado_Receita!$L$2:$L$548)</f>
        <v>0</v>
      </c>
      <c r="K5" s="13">
        <f>SUMIF(Mercado_Receita!$S$2:$S$548,"44501A4AzulNão se aplicaNão se aplicaAPENão se aplicaPonta",Mercado_Receita!$L$2:$L$548)+SUMIF(Mercado_Receita!$S$2:$S$548,"44501A4AzulNão se aplicaNão se aplicaAPENão se aplicaFora ponta",Mercado_Receita!$L$2:$L$548)+SUMIF(Mercado_Receita!$S$2:$S$548,"44501A4AzulNão se aplicaNão se aplicaAPENão se aplicaIntermediário",Mercado_Receita!$L$2:$L$548)+SUMIF(Mercado_Receita!$S$2:$S$548,"44501A4AzulNão se aplicaNão se aplicaAPENão se aplicaNão se aplica",Mercado_Receita!$L$2:$L$548)</f>
        <v>0</v>
      </c>
      <c r="L5" s="13">
        <f>SUMIF(Mercado_Receita!$S$2:$S$548,"44531A4AzulNão se aplicaNão se aplicaAPENão se aplicaPonta",Mercado_Receita!$L$2:$L$548)+SUMIF(Mercado_Receita!$S$2:$S$548,"44531A4AzulNão se aplicaNão se aplicaAPENão se aplicaFora ponta",Mercado_Receita!$L$2:$L$548)+SUMIF(Mercado_Receita!$S$2:$S$548,"44531A4AzulNão se aplicaNão se aplicaAPENão se aplicaIntermediário",Mercado_Receita!$L$2:$L$548)+SUMIF(Mercado_Receita!$S$2:$S$548,"44531A4AzulNão se aplicaNão se aplicaAPENão se aplicaNão se aplica",Mercado_Receita!$L$2:$L$548)</f>
        <v>0</v>
      </c>
      <c r="M5" s="13">
        <f>SUMIF(Mercado_Receita!$S$2:$S$548,"44562A4AzulNão se aplicaNão se aplicaAPENão se aplicaPonta",Mercado_Receita!$L$2:$L$548)+SUMIF(Mercado_Receita!$S$2:$S$548,"44562A4AzulNão se aplicaNão se aplicaAPENão se aplicaFora ponta",Mercado_Receita!$L$2:$L$548)+SUMIF(Mercado_Receita!$S$2:$S$548,"44562A4AzulNão se aplicaNão se aplicaAPENão se aplicaIntermediário",Mercado_Receita!$L$2:$L$548)+SUMIF(Mercado_Receita!$S$2:$S$548,"44562A4AzulNão se aplicaNão se aplicaAPENão se aplicaNão se aplica",Mercado_Receita!$L$2:$L$548)</f>
        <v>0</v>
      </c>
      <c r="N5" s="13">
        <f>SUMIF(Mercado_Receita!$S$2:$S$548,"44593A4AzulNão se aplicaNão se aplicaAPENão se aplicaPonta",Mercado_Receita!$L$2:$L$548)+SUMIF(Mercado_Receita!$S$2:$S$548,"44593A4AzulNão se aplicaNão se aplicaAPENão se aplicaFora ponta",Mercado_Receita!$L$2:$L$548)+SUMIF(Mercado_Receita!$S$2:$S$548,"44593A4AzulNão se aplicaNão se aplicaAPENão se aplicaIntermediário",Mercado_Receita!$L$2:$L$548)+SUMIF(Mercado_Receita!$S$2:$S$548,"44593A4AzulNão se aplicaNão se aplicaAPENão se aplicaNão se aplica",Mercado_Receita!$L$2:$L$548)</f>
        <v>0</v>
      </c>
      <c r="O5" s="13">
        <f>SUMIF(Mercado_Receita!$S$2:$S$548,"44621A4AzulNão se aplicaNão se aplicaAPENão se aplicaPonta",Mercado_Receita!$L$2:$L$548)+SUMIF(Mercado_Receita!$S$2:$S$548,"44621A4AzulNão se aplicaNão se aplicaAPENão se aplicaFora ponta",Mercado_Receita!$L$2:$L$548)+SUMIF(Mercado_Receita!$S$2:$S$548,"44621A4AzulNão se aplicaNão se aplicaAPENão se aplicaIntermediário",Mercado_Receita!$L$2:$L$548)+SUMIF(Mercado_Receita!$S$2:$S$548,"44621A4AzulNão se aplicaNão se aplicaAPENão se aplicaNão se aplica",Mercado_Receita!$L$2:$L$548)</f>
        <v>0</v>
      </c>
      <c r="P5" s="13">
        <f>SUMIF(Mercado_Receita!$S$2:$S$548,"44652A4AzulNão se aplicaNão se aplicaAPENão se aplicaPonta",Mercado_Receita!$L$2:$L$548)+SUMIF(Mercado_Receita!$S$2:$S$548,"44652A4AzulNão se aplicaNão se aplicaAPENão se aplicaFora ponta",Mercado_Receita!$L$2:$L$548)+SUMIF(Mercado_Receita!$S$2:$S$548,"44652A4AzulNão se aplicaNão se aplicaAPENão se aplicaIntermediário",Mercado_Receita!$L$2:$L$548)+SUMIF(Mercado_Receita!$S$2:$S$548,"44652A4AzulNão se aplicaNão se aplicaAPENão se aplicaNão se aplica",Mercado_Receita!$L$2:$L$548)</f>
        <v>0</v>
      </c>
      <c r="Q5" s="13">
        <f>SUMIF(Mercado_Receita!$S$2:$S$548,"44682A4AzulNão se aplicaNão se aplicaAPENão se aplicaPonta",Mercado_Receita!$L$2:$L$548)+SUMIF(Mercado_Receita!$S$2:$S$548,"44682A4AzulNão se aplicaNão se aplicaAPENão se aplicaFora ponta",Mercado_Receita!$L$2:$L$548)+SUMIF(Mercado_Receita!$S$2:$S$548,"44682A4AzulNão se aplicaNão se aplicaAPENão se aplicaIntermediário",Mercado_Receita!$L$2:$L$548)+SUMIF(Mercado_Receita!$S$2:$S$548,"44682A4AzulNão se aplicaNão se aplicaAPENão se aplicaNão se aplica",Mercado_Receita!$L$2:$L$548)</f>
        <v>0</v>
      </c>
      <c r="R5" s="13">
        <f>SUMIF(Mercado_Receita!$S$2:$S$548,"44713A4AzulNão se aplicaNão se aplicaAPENão se aplicaPonta",Mercado_Receita!$L$2:$L$548)+SUMIF(Mercado_Receita!$S$2:$S$548,"44713A4AzulNão se aplicaNão se aplicaAPENão se aplicaFora ponta",Mercado_Receita!$L$2:$L$548)+SUMIF(Mercado_Receita!$S$2:$S$548,"44713A4AzulNão se aplicaNão se aplicaAPENão se aplicaIntermediário",Mercado_Receita!$L$2:$L$548)+SUMIF(Mercado_Receita!$S$2:$S$548,"44713A4AzulNão se aplicaNão se aplicaAPENão se aplicaNão se aplica",Mercado_Receita!$L$2:$L$548)</f>
        <v>0</v>
      </c>
      <c r="S5" s="13">
        <f>SUMIF(Mercado_Receita!$S$2:$S$548,"44743A4AzulNão se aplicaNão se aplicaAPENão se aplicaPonta",Mercado_Receita!$L$2:$L$548)+SUMIF(Mercado_Receita!$S$2:$S$548,"44743A4AzulNão se aplicaNão se aplicaAPENão se aplicaFora ponta",Mercado_Receita!$L$2:$L$548)+SUMIF(Mercado_Receita!$S$2:$S$548,"44743A4AzulNão se aplicaNão se aplicaAPENão se aplicaIntermediário",Mercado_Receita!$L$2:$L$548)+SUMIF(Mercado_Receita!$S$2:$S$548,"44743A4AzulNão se aplicaNão se aplicaAPENão se aplicaNão se aplica",Mercado_Receita!$L$2:$L$548)</f>
        <v>0</v>
      </c>
      <c r="T5" s="13">
        <f>SUMIF(Mercado_Receita!$S$2:$S$548,"44774A4AzulNão se aplicaNão se aplicaAPENão se aplicaPonta",Mercado_Receita!$L$2:$L$548)+SUMIF(Mercado_Receita!$S$2:$S$548,"44774A4AzulNão se aplicaNão se aplicaAPENão se aplicaFora ponta",Mercado_Receita!$L$2:$L$548)+SUMIF(Mercado_Receita!$S$2:$S$548,"44774A4AzulNão se aplicaNão se aplicaAPENão se aplicaIntermediário",Mercado_Receita!$L$2:$L$548)+SUMIF(Mercado_Receita!$S$2:$S$548,"44774A4AzulNão se aplicaNão se aplicaAPENão se aplicaNão se aplica",Mercado_Receita!$L$2:$L$548)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12" t="s">
        <v>80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75</v>
      </c>
      <c r="I6" s="13">
        <f>SUMIF(Mercado_Receita!$S$2:$S$548,"44440A4GeraçãoNão se aplicaNão se aplicaNão se aplicaNão se aplicaNão se aplica",Mercado_Receita!$J$2:$J$548)+SUMIF(Mercado_Receita!$S$2:$S$548,"44440A4GeraçãoNão se aplicaNão se aplicaAPENão se aplicaNão se aplica",Mercado_Receita!$J$2:$J$548)</f>
        <v>0</v>
      </c>
      <c r="J6" s="13">
        <f>SUMIF(Mercado_Receita!$S$2:$S$548,"44470A4GeraçãoNão se aplicaNão se aplicaNão se aplicaNão se aplicaNão se aplica",Mercado_Receita!$J$2:$J$548)+SUMIF(Mercado_Receita!$S$2:$S$548,"44470A4GeraçãoNão se aplicaNão se aplicaAPENão se aplicaNão se aplica",Mercado_Receita!$J$2:$J$548)</f>
        <v>0</v>
      </c>
      <c r="K6" s="13">
        <f>SUMIF(Mercado_Receita!$S$2:$S$548,"44501A4GeraçãoNão se aplicaNão se aplicaNão se aplicaNão se aplicaNão se aplica",Mercado_Receita!$J$2:$J$548)+SUMIF(Mercado_Receita!$S$2:$S$548,"44501A4GeraçãoNão se aplicaNão se aplicaAPENão se aplicaNão se aplica",Mercado_Receita!$J$2:$J$548)</f>
        <v>0</v>
      </c>
      <c r="L6" s="13">
        <f>SUMIF(Mercado_Receita!$S$2:$S$548,"44531A4GeraçãoNão se aplicaNão se aplicaNão se aplicaNão se aplicaNão se aplica",Mercado_Receita!$J$2:$J$548)+SUMIF(Mercado_Receita!$S$2:$S$548,"44531A4GeraçãoNão se aplicaNão se aplicaAPENão se aplicaNão se aplica",Mercado_Receita!$J$2:$J$548)</f>
        <v>0</v>
      </c>
      <c r="M6" s="13">
        <f>SUMIF(Mercado_Receita!$S$2:$S$548,"44562A4GeraçãoNão se aplicaNão se aplicaNão se aplicaNão se aplicaNão se aplica",Mercado_Receita!$J$2:$J$548)+SUMIF(Mercado_Receita!$S$2:$S$548,"44562A4GeraçãoNão se aplicaNão se aplicaAPENão se aplicaNão se aplica",Mercado_Receita!$J$2:$J$548)</f>
        <v>0</v>
      </c>
      <c r="N6" s="13">
        <f>SUMIF(Mercado_Receita!$S$2:$S$548,"44593A4GeraçãoNão se aplicaNão se aplicaNão se aplicaNão se aplicaNão se aplica",Mercado_Receita!$J$2:$J$548)+SUMIF(Mercado_Receita!$S$2:$S$548,"44593A4GeraçãoNão se aplicaNão se aplicaAPENão se aplicaNão se aplica",Mercado_Receita!$J$2:$J$548)</f>
        <v>0</v>
      </c>
      <c r="O6" s="13">
        <f>SUMIF(Mercado_Receita!$S$2:$S$548,"44621A4GeraçãoNão se aplicaNão se aplicaNão se aplicaNão se aplicaNão se aplica",Mercado_Receita!$J$2:$J$548)+SUMIF(Mercado_Receita!$S$2:$S$548,"44621A4GeraçãoNão se aplicaNão se aplicaAPENão se aplicaNão se aplica",Mercado_Receita!$J$2:$J$548)</f>
        <v>0</v>
      </c>
      <c r="P6" s="13">
        <f>SUMIF(Mercado_Receita!$S$2:$S$548,"44652A4GeraçãoNão se aplicaNão se aplicaNão se aplicaNão se aplicaNão se aplica",Mercado_Receita!$J$2:$J$548)+SUMIF(Mercado_Receita!$S$2:$S$548,"44652A4GeraçãoNão se aplicaNão se aplicaAPENão se aplicaNão se aplica",Mercado_Receita!$J$2:$J$548)</f>
        <v>0</v>
      </c>
      <c r="Q6" s="13">
        <f>SUMIF(Mercado_Receita!$S$2:$S$548,"44682A4GeraçãoNão se aplicaNão se aplicaNão se aplicaNão se aplicaNão se aplica",Mercado_Receita!$J$2:$J$548)+SUMIF(Mercado_Receita!$S$2:$S$548,"44682A4GeraçãoNão se aplicaNão se aplicaAPENão se aplicaNão se aplica",Mercado_Receita!$J$2:$J$548)</f>
        <v>0</v>
      </c>
      <c r="R6" s="13">
        <f>SUMIF(Mercado_Receita!$S$2:$S$548,"44713A4GeraçãoNão se aplicaNão se aplicaNão se aplicaNão se aplicaNão se aplica",Mercado_Receita!$J$2:$J$548)+SUMIF(Mercado_Receita!$S$2:$S$548,"44713A4GeraçãoNão se aplicaNão se aplicaAPENão se aplicaNão se aplica",Mercado_Receita!$J$2:$J$548)</f>
        <v>0</v>
      </c>
      <c r="S6" s="13">
        <f>SUMIF(Mercado_Receita!$S$2:$S$548,"44743A4GeraçãoNão se aplicaNão se aplicaNão se aplicaNão se aplicaNão se aplica",Mercado_Receita!$J$2:$J$548)+SUMIF(Mercado_Receita!$S$2:$S$548,"44743A4GeraçãoNão se aplicaNão se aplicaAPENão se aplicaNão se aplica",Mercado_Receita!$J$2:$J$548)</f>
        <v>0</v>
      </c>
      <c r="T6" s="13">
        <f>SUMIF(Mercado_Receita!$S$2:$S$548,"44774A4GeraçãoNão se aplicaNão se aplicaNão se aplicaNão se aplicaNão se aplica",Mercado_Receita!$J$2:$J$548)+SUMIF(Mercado_Receita!$S$2:$S$548,"44774A4GeraçãoNão se aplicaNão se aplicaAPENão se aplicaNão se aplica",Mercado_Receita!$J$2:$J$548)</f>
        <v>0</v>
      </c>
      <c r="U6" s="13">
        <f t="shared" si="0"/>
        <v>0</v>
      </c>
      <c r="V6" s="13"/>
      <c r="W6" s="13"/>
    </row>
    <row r="7" spans="1:30" ht="11.25" customHeight="1" x14ac:dyDescent="0.25">
      <c r="A7" s="77"/>
      <c r="B7" s="76" t="s">
        <v>39</v>
      </c>
      <c r="C7" s="76" t="s">
        <v>25</v>
      </c>
      <c r="D7" s="76" t="s">
        <v>25</v>
      </c>
      <c r="E7" s="76" t="s">
        <v>25</v>
      </c>
      <c r="F7" s="76" t="s">
        <v>25</v>
      </c>
      <c r="G7" s="13" t="s">
        <v>9</v>
      </c>
      <c r="H7" s="13" t="s">
        <v>75</v>
      </c>
      <c r="I7" s="13">
        <f>SUMIF(Mercado_Receita!$S$2:$S$548,"44440A4VerdeNão se aplicaNão se aplicaNão se aplicaNão se aplicaNão se aplica",Mercado_Receita!$J$2:$J$548)+SUMIF(Mercado_Receita!$S$2:$S$548,"44440A4VerdeNão se aplicaNão se aplicaAPENão se aplicaNão se aplica",Mercado_Receita!$J$2:$J$548)</f>
        <v>23507</v>
      </c>
      <c r="J7" s="13">
        <f>SUMIF(Mercado_Receita!$S$2:$S$548,"44470A4VerdeNão se aplicaNão se aplicaNão se aplicaNão se aplicaNão se aplica",Mercado_Receita!$J$2:$J$548)+SUMIF(Mercado_Receita!$S$2:$S$548,"44470A4VerdeNão se aplicaNão se aplicaAPENão se aplicaNão se aplica",Mercado_Receita!$J$2:$J$548)</f>
        <v>23482</v>
      </c>
      <c r="K7" s="13">
        <f>SUMIF(Mercado_Receita!$S$2:$S$548,"44501A4VerdeNão se aplicaNão se aplicaNão se aplicaNão se aplicaNão se aplica",Mercado_Receita!$J$2:$J$548)+SUMIF(Mercado_Receita!$S$2:$S$548,"44501A4VerdeNão se aplicaNão se aplicaAPENão se aplicaNão se aplica",Mercado_Receita!$J$2:$J$548)</f>
        <v>23397</v>
      </c>
      <c r="L7" s="13">
        <f>SUMIF(Mercado_Receita!$S$2:$S$548,"44531A4VerdeNão se aplicaNão se aplicaNão se aplicaNão se aplicaNão se aplica",Mercado_Receita!$J$2:$J$548)+SUMIF(Mercado_Receita!$S$2:$S$548,"44531A4VerdeNão se aplicaNão se aplicaAPENão se aplicaNão se aplica",Mercado_Receita!$J$2:$J$548)</f>
        <v>23585</v>
      </c>
      <c r="M7" s="13">
        <f>SUMIF(Mercado_Receita!$S$2:$S$548,"44562A4VerdeNão se aplicaNão se aplicaNão se aplicaNão se aplicaNão se aplica",Mercado_Receita!$J$2:$J$548)+SUMIF(Mercado_Receita!$S$2:$S$548,"44562A4VerdeNão se aplicaNão se aplicaAPENão se aplicaNão se aplica",Mercado_Receita!$J$2:$J$548)</f>
        <v>23631</v>
      </c>
      <c r="N7" s="13">
        <f>SUMIF(Mercado_Receita!$S$2:$S$548,"44593A4VerdeNão se aplicaNão se aplicaNão se aplicaNão se aplicaNão se aplica",Mercado_Receita!$J$2:$J$548)+SUMIF(Mercado_Receita!$S$2:$S$548,"44593A4VerdeNão se aplicaNão se aplicaAPENão se aplicaNão se aplica",Mercado_Receita!$J$2:$J$548)</f>
        <v>23640</v>
      </c>
      <c r="O7" s="13">
        <f>SUMIF(Mercado_Receita!$S$2:$S$548,"44621A4VerdeNão se aplicaNão se aplicaNão se aplicaNão se aplicaNão se aplica",Mercado_Receita!$J$2:$J$548)+SUMIF(Mercado_Receita!$S$2:$S$548,"44621A4VerdeNão se aplicaNão se aplicaAPENão se aplicaNão se aplica",Mercado_Receita!$J$2:$J$548)</f>
        <v>23583</v>
      </c>
      <c r="P7" s="13">
        <f>SUMIF(Mercado_Receita!$S$2:$S$548,"44652A4VerdeNão se aplicaNão se aplicaNão se aplicaNão se aplicaNão se aplica",Mercado_Receita!$J$2:$J$548)+SUMIF(Mercado_Receita!$S$2:$S$548,"44652A4VerdeNão se aplicaNão se aplicaAPENão se aplicaNão se aplica",Mercado_Receita!$J$2:$J$548)</f>
        <v>23649</v>
      </c>
      <c r="Q7" s="13">
        <f>SUMIF(Mercado_Receita!$S$2:$S$548,"44682A4VerdeNão se aplicaNão se aplicaNão se aplicaNão se aplicaNão se aplica",Mercado_Receita!$J$2:$J$548)+SUMIF(Mercado_Receita!$S$2:$S$548,"44682A4VerdeNão se aplicaNão se aplicaAPENão se aplicaNão se aplica",Mercado_Receita!$J$2:$J$548)</f>
        <v>24348</v>
      </c>
      <c r="R7" s="13">
        <f>SUMIF(Mercado_Receita!$S$2:$S$548,"44713A4VerdeNão se aplicaNão se aplicaNão se aplicaNão se aplicaNão se aplica",Mercado_Receita!$J$2:$J$548)+SUMIF(Mercado_Receita!$S$2:$S$548,"44713A4VerdeNão se aplicaNão se aplicaAPENão se aplicaNão se aplica",Mercado_Receita!$J$2:$J$548)</f>
        <v>24111</v>
      </c>
      <c r="S7" s="13">
        <f>SUMIF(Mercado_Receita!$S$2:$S$548,"44743A4VerdeNão se aplicaNão se aplicaNão se aplicaNão se aplicaNão se aplica",Mercado_Receita!$J$2:$J$548)+SUMIF(Mercado_Receita!$S$2:$S$548,"44743A4VerdeNão se aplicaNão se aplicaAPENão se aplicaNão se aplica",Mercado_Receita!$J$2:$J$548)</f>
        <v>24112</v>
      </c>
      <c r="T7" s="13">
        <f>SUMIF(Mercado_Receita!$S$2:$S$548,"44774A4VerdeNão se aplicaNão se aplicaNão se aplicaNão se aplicaNão se aplica",Mercado_Receita!$J$2:$J$548)+SUMIF(Mercado_Receita!$S$2:$S$548,"44774A4VerdeNão se aplicaNão se aplicaAPENão se aplicaNão se aplica",Mercado_Receita!$J$2:$J$548)</f>
        <v>24112</v>
      </c>
      <c r="U7" s="13">
        <f t="shared" si="0"/>
        <v>285157</v>
      </c>
      <c r="V7" s="13"/>
      <c r="W7" s="13"/>
    </row>
    <row r="8" spans="1:30" ht="11.25" customHeight="1" x14ac:dyDescent="0.25">
      <c r="A8" s="77"/>
      <c r="B8" s="77"/>
      <c r="C8" s="77"/>
      <c r="D8" s="77"/>
      <c r="E8" s="77"/>
      <c r="F8" s="77"/>
      <c r="G8" s="13" t="s">
        <v>73</v>
      </c>
      <c r="H8" s="13" t="s">
        <v>72</v>
      </c>
      <c r="I8" s="13">
        <f>SUMIF(Mercado_Receita!$S$2:$S$548,"44440A4VerdeNão se aplicaNão se aplicaNão se aplicaNão se aplicaPonta",Mercado_Receita!$L$2:$L$548)</f>
        <v>92.577999999999989</v>
      </c>
      <c r="J8" s="13">
        <f>SUMIF(Mercado_Receita!$S$2:$S$548,"44470A4VerdeNão se aplicaNão se aplicaNão se aplicaNão se aplicaPonta",Mercado_Receita!$L$2:$L$548)</f>
        <v>75.383999999999986</v>
      </c>
      <c r="K8" s="13">
        <f>SUMIF(Mercado_Receita!$S$2:$S$548,"44501A4VerdeNão se aplicaNão se aplicaNão se aplicaNão se aplicaPonta",Mercado_Receita!$L$2:$L$548)</f>
        <v>82.561999999999998</v>
      </c>
      <c r="L8" s="13">
        <f>SUMIF(Mercado_Receita!$S$2:$S$548,"44531A4VerdeNão se aplicaNão se aplicaNão se aplicaNão se aplicaPonta",Mercado_Receita!$L$2:$L$548)</f>
        <v>93.117999999999981</v>
      </c>
      <c r="M8" s="13">
        <f>SUMIF(Mercado_Receita!$S$2:$S$548,"44562A4VerdeNão se aplicaNão se aplicaNão se aplicaNão se aplicaPonta",Mercado_Receita!$L$2:$L$548)</f>
        <v>81.995999999999995</v>
      </c>
      <c r="N8" s="13">
        <f>SUMIF(Mercado_Receita!$S$2:$S$548,"44593A4VerdeNão se aplicaNão se aplicaNão se aplicaNão se aplicaPonta",Mercado_Receita!$L$2:$L$548)</f>
        <v>94.668000000000006</v>
      </c>
      <c r="O8" s="13">
        <f>SUMIF(Mercado_Receita!$S$2:$S$548,"44621A4VerdeNão se aplicaNão se aplicaNão se aplicaNão se aplicaPonta",Mercado_Receita!$L$2:$L$548)</f>
        <v>89.427000000000007</v>
      </c>
      <c r="P8" s="13">
        <f>SUMIF(Mercado_Receita!$S$2:$S$548,"44652A4VerdeNão se aplicaNão se aplicaNão se aplicaNão se aplicaPonta",Mercado_Receita!$L$2:$L$548)</f>
        <v>104.08899999999998</v>
      </c>
      <c r="Q8" s="13">
        <f>SUMIF(Mercado_Receita!$S$2:$S$548,"44682A4VerdeNão se aplicaNão se aplicaNão se aplicaNão se aplicaPonta",Mercado_Receita!$L$2:$L$548)</f>
        <v>106.574</v>
      </c>
      <c r="R8" s="13">
        <f>SUMIF(Mercado_Receita!$S$2:$S$548,"44713A4VerdeNão se aplicaNão se aplicaNão se aplicaNão se aplicaPonta",Mercado_Receita!$L$2:$L$548)</f>
        <v>98.817999999999998</v>
      </c>
      <c r="S8" s="13">
        <f>SUMIF(Mercado_Receita!$S$2:$S$548,"44743A4VerdeNão se aplicaNão se aplicaNão se aplicaNão se aplicaPonta",Mercado_Receita!$L$2:$L$548)</f>
        <v>124.74900000000002</v>
      </c>
      <c r="T8" s="13">
        <f>SUMIF(Mercado_Receita!$S$2:$S$548,"44774A4VerdeNão se aplicaNão se aplicaNão se aplicaNão se aplicaPonta",Mercado_Receita!$L$2:$L$548)</f>
        <v>124.74900000000002</v>
      </c>
      <c r="U8" s="13">
        <f t="shared" si="0"/>
        <v>1168.712</v>
      </c>
      <c r="V8" s="13"/>
      <c r="W8" s="13"/>
    </row>
    <row r="9" spans="1:30" ht="11.25" customHeight="1" x14ac:dyDescent="0.25">
      <c r="A9" s="77"/>
      <c r="B9" s="77"/>
      <c r="C9" s="77"/>
      <c r="D9" s="77"/>
      <c r="E9" s="77"/>
      <c r="F9" s="77"/>
      <c r="G9" s="13" t="s">
        <v>74</v>
      </c>
      <c r="H9" s="13" t="s">
        <v>72</v>
      </c>
      <c r="I9" s="13">
        <f>SUMIF(Mercado_Receita!$S$2:$S$548,"44440A4VerdeNão se aplicaNão se aplicaNão se aplicaNão se aplicaFora ponta",Mercado_Receita!$L$2:$L$548)</f>
        <v>6037.612000000001</v>
      </c>
      <c r="J9" s="13">
        <f>SUMIF(Mercado_Receita!$S$2:$S$548,"44470A4VerdeNão se aplicaNão se aplicaNão se aplicaNão se aplicaFora ponta",Mercado_Receita!$L$2:$L$548)</f>
        <v>6057.4</v>
      </c>
      <c r="K9" s="13">
        <f>SUMIF(Mercado_Receita!$S$2:$S$548,"44501A4VerdeNão se aplicaNão se aplicaNão se aplicaNão se aplicaFora ponta",Mercado_Receita!$L$2:$L$548)</f>
        <v>6064.6130000000003</v>
      </c>
      <c r="L9" s="13">
        <f>SUMIF(Mercado_Receita!$S$2:$S$548,"44531A4VerdeNão se aplicaNão se aplicaNão se aplicaNão se aplicaFora ponta",Mercado_Receita!$L$2:$L$548)</f>
        <v>6027.1080000000002</v>
      </c>
      <c r="M9" s="13">
        <f>SUMIF(Mercado_Receita!$S$2:$S$548,"44562A4VerdeNão se aplicaNão se aplicaNão se aplicaNão se aplicaFora ponta",Mercado_Receita!$L$2:$L$548)</f>
        <v>5402.7680000000009</v>
      </c>
      <c r="N9" s="13">
        <f>SUMIF(Mercado_Receita!$S$2:$S$548,"44593A4VerdeNão se aplicaNão se aplicaNão se aplicaNão se aplicaFora ponta",Mercado_Receita!$L$2:$L$548)</f>
        <v>5589.5640000000003</v>
      </c>
      <c r="O9" s="13">
        <f>SUMIF(Mercado_Receita!$S$2:$S$548,"44621A4VerdeNão se aplicaNão se aplicaNão se aplicaNão se aplicaFora ponta",Mercado_Receita!$L$2:$L$548)</f>
        <v>5757.0240000000003</v>
      </c>
      <c r="P9" s="13">
        <f>SUMIF(Mercado_Receita!$S$2:$S$548,"44652A4VerdeNão se aplicaNão se aplicaNão se aplicaNão se aplicaFora ponta",Mercado_Receita!$L$2:$L$548)</f>
        <v>6455.3789999999999</v>
      </c>
      <c r="Q9" s="13">
        <f>SUMIF(Mercado_Receita!$S$2:$S$548,"44682A4VerdeNão se aplicaNão se aplicaNão se aplicaNão se aplicaFora ponta",Mercado_Receita!$L$2:$L$548)</f>
        <v>6345.9690000000001</v>
      </c>
      <c r="R9" s="13">
        <f>SUMIF(Mercado_Receita!$S$2:$S$548,"44713A4VerdeNão se aplicaNão se aplicaNão se aplicaNão se aplicaFora ponta",Mercado_Receita!$L$2:$L$548)</f>
        <v>6491.0640000000003</v>
      </c>
      <c r="S9" s="13">
        <f>SUMIF(Mercado_Receita!$S$2:$S$548,"44743A4VerdeNão se aplicaNão se aplicaNão se aplicaNão se aplicaFora ponta",Mercado_Receita!$L$2:$L$548)</f>
        <v>6251.4349999999986</v>
      </c>
      <c r="T9" s="13">
        <f>SUMIF(Mercado_Receita!$S$2:$S$548,"44774A4VerdeNão se aplicaNão se aplicaNão se aplicaNão se aplicaFora ponta",Mercado_Receita!$L$2:$L$548)</f>
        <v>6251.4349999999986</v>
      </c>
      <c r="U9" s="13">
        <f t="shared" si="0"/>
        <v>72731.370999999999</v>
      </c>
      <c r="V9" s="13"/>
      <c r="W9" s="13"/>
    </row>
    <row r="10" spans="1:30" ht="11.25" customHeight="1" x14ac:dyDescent="0.25">
      <c r="A10" s="77"/>
      <c r="B10" s="77"/>
      <c r="C10" s="77"/>
      <c r="D10" s="77"/>
      <c r="E10" s="76" t="s">
        <v>79</v>
      </c>
      <c r="F10" s="76" t="s">
        <v>25</v>
      </c>
      <c r="G10" s="13" t="s">
        <v>73</v>
      </c>
      <c r="H10" s="13" t="s">
        <v>72</v>
      </c>
      <c r="I10" s="13">
        <f>SUMIF(Mercado_Receita!$S$2:$S$548,"44440A4VerdeNão se aplicaNão se aplicaAPENão se aplicaPonta",Mercado_Receita!$L$2:$L$548)</f>
        <v>0</v>
      </c>
      <c r="J10" s="13">
        <f>SUMIF(Mercado_Receita!$S$2:$S$548,"44470A4VerdeNão se aplicaNão se aplicaAPENão se aplicaPonta",Mercado_Receita!$L$2:$L$548)</f>
        <v>0</v>
      </c>
      <c r="K10" s="13">
        <f>SUMIF(Mercado_Receita!$S$2:$S$548,"44501A4VerdeNão se aplicaNão se aplicaAPENão se aplicaPonta",Mercado_Receita!$L$2:$L$548)</f>
        <v>0</v>
      </c>
      <c r="L10" s="13">
        <f>SUMIF(Mercado_Receita!$S$2:$S$548,"44531A4VerdeNão se aplicaNão se aplicaAPENão se aplicaPonta",Mercado_Receita!$L$2:$L$548)</f>
        <v>0</v>
      </c>
      <c r="M10" s="13">
        <f>SUMIF(Mercado_Receita!$S$2:$S$548,"44562A4VerdeNão se aplicaNão se aplicaAPENão se aplicaPonta",Mercado_Receita!$L$2:$L$548)</f>
        <v>0</v>
      </c>
      <c r="N10" s="13">
        <f>SUMIF(Mercado_Receita!$S$2:$S$548,"44593A4VerdeNão se aplicaNão se aplicaAPENão se aplicaPonta",Mercado_Receita!$L$2:$L$548)</f>
        <v>0</v>
      </c>
      <c r="O10" s="13">
        <f>SUMIF(Mercado_Receita!$S$2:$S$548,"44621A4VerdeNão se aplicaNão se aplicaAPENão se aplicaPonta",Mercado_Receita!$L$2:$L$548)</f>
        <v>0</v>
      </c>
      <c r="P10" s="13">
        <f>SUMIF(Mercado_Receita!$S$2:$S$548,"44652A4VerdeNão se aplicaNão se aplicaAPENão se aplicaPonta",Mercado_Receita!$L$2:$L$548)</f>
        <v>0</v>
      </c>
      <c r="Q10" s="13">
        <f>SUMIF(Mercado_Receita!$S$2:$S$548,"44682A4VerdeNão se aplicaNão se aplicaAPENão se aplicaPonta",Mercado_Receita!$L$2:$L$548)</f>
        <v>0</v>
      </c>
      <c r="R10" s="13">
        <f>SUMIF(Mercado_Receita!$S$2:$S$548,"44713A4VerdeNão se aplicaNão se aplicaAPENão se aplicaPonta",Mercado_Receita!$L$2:$L$548)</f>
        <v>0</v>
      </c>
      <c r="S10" s="13">
        <f>SUMIF(Mercado_Receita!$S$2:$S$548,"44743A4VerdeNão se aplicaNão se aplicaAPENão se aplicaPonta",Mercado_Receita!$L$2:$L$548)</f>
        <v>0</v>
      </c>
      <c r="T10" s="13">
        <f>SUMIF(Mercado_Receita!$S$2:$S$548,"44774A4VerdeNão se aplicaNão se aplicaAPENão se aplicaPonta",Mercado_Receita!$L$2:$L$548)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7"/>
      <c r="B11" s="77"/>
      <c r="C11" s="77"/>
      <c r="D11" s="77"/>
      <c r="E11" s="77"/>
      <c r="F11" s="77"/>
      <c r="G11" s="13" t="s">
        <v>74</v>
      </c>
      <c r="H11" s="13" t="s">
        <v>72</v>
      </c>
      <c r="I11" s="13">
        <f>SUMIF(Mercado_Receita!$S$2:$S$548,"44440A4VerdeNão se aplicaNão se aplicaAPENão se aplicaFora ponta",Mercado_Receita!$L$2:$L$548)</f>
        <v>0</v>
      </c>
      <c r="J11" s="13">
        <f>SUMIF(Mercado_Receita!$S$2:$S$548,"44470A4VerdeNão se aplicaNão se aplicaAPENão se aplicaFora ponta",Mercado_Receita!$L$2:$L$548)</f>
        <v>0</v>
      </c>
      <c r="K11" s="13">
        <f>SUMIF(Mercado_Receita!$S$2:$S$548,"44501A4VerdeNão se aplicaNão se aplicaAPENão se aplicaFora ponta",Mercado_Receita!$L$2:$L$548)</f>
        <v>0</v>
      </c>
      <c r="L11" s="13">
        <f>SUMIF(Mercado_Receita!$S$2:$S$548,"44531A4VerdeNão se aplicaNão se aplicaAPENão se aplicaFora ponta",Mercado_Receita!$L$2:$L$548)</f>
        <v>0</v>
      </c>
      <c r="M11" s="13">
        <f>SUMIF(Mercado_Receita!$S$2:$S$548,"44562A4VerdeNão se aplicaNão se aplicaAPENão se aplicaFora ponta",Mercado_Receita!$L$2:$L$548)</f>
        <v>0</v>
      </c>
      <c r="N11" s="13">
        <f>SUMIF(Mercado_Receita!$S$2:$S$548,"44593A4VerdeNão se aplicaNão se aplicaAPENão se aplicaFora ponta",Mercado_Receita!$L$2:$L$548)</f>
        <v>0</v>
      </c>
      <c r="O11" s="13">
        <f>SUMIF(Mercado_Receita!$S$2:$S$548,"44621A4VerdeNão se aplicaNão se aplicaAPENão se aplicaFora ponta",Mercado_Receita!$L$2:$L$548)</f>
        <v>0</v>
      </c>
      <c r="P11" s="13">
        <f>SUMIF(Mercado_Receita!$S$2:$S$548,"44652A4VerdeNão se aplicaNão se aplicaAPENão se aplicaFora ponta",Mercado_Receita!$L$2:$L$548)</f>
        <v>0</v>
      </c>
      <c r="Q11" s="13">
        <f>SUMIF(Mercado_Receita!$S$2:$S$548,"44682A4VerdeNão se aplicaNão se aplicaAPENão se aplicaFora ponta",Mercado_Receita!$L$2:$L$548)</f>
        <v>0</v>
      </c>
      <c r="R11" s="13">
        <f>SUMIF(Mercado_Receita!$S$2:$S$548,"44713A4VerdeNão se aplicaNão se aplicaAPENão se aplicaFora ponta",Mercado_Receita!$L$2:$L$548)</f>
        <v>0</v>
      </c>
      <c r="S11" s="13">
        <f>SUMIF(Mercado_Receita!$S$2:$S$548,"44743A4VerdeNão se aplicaNão se aplicaAPENão se aplicaFora ponta",Mercado_Receita!$L$2:$L$548)</f>
        <v>0</v>
      </c>
      <c r="T11" s="13">
        <f>SUMIF(Mercado_Receita!$S$2:$S$548,"44774A4VerdeNão se aplicaNão se aplicaAPENão se aplicaFora ponta",Mercado_Receita!$L$2:$L$548)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6" t="s">
        <v>81</v>
      </c>
      <c r="B12" s="76" t="s">
        <v>80</v>
      </c>
      <c r="C12" s="76" t="s">
        <v>25</v>
      </c>
      <c r="D12" s="76" t="s">
        <v>25</v>
      </c>
      <c r="E12" s="12" t="s">
        <v>82</v>
      </c>
      <c r="F12" s="12" t="s">
        <v>25</v>
      </c>
      <c r="G12" s="13" t="s">
        <v>9</v>
      </c>
      <c r="H12" s="13" t="s">
        <v>75</v>
      </c>
      <c r="I12" s="13">
        <f>SUMIF(Mercado_Receita!$S$2:$S$548,"44440BGeraçãoNão se aplicaNão se aplicaTIPO 01Não se aplicaNão se aplica",Mercado_Receita!$J$2:$J$548)+SUMIF(Mercado_Receita!$S$2:$S$548,"44440BGeraçãoNão se aplicaNão se aplicaAPENão se aplicaNão se aplica",Mercado_Receita!$J$2:$J$548)</f>
        <v>0</v>
      </c>
      <c r="J12" s="13">
        <f>SUMIF(Mercado_Receita!$S$2:$S$548,"44470BGeraçãoNão se aplicaNão se aplicaTIPO 01Não se aplicaNão se aplica",Mercado_Receita!$J$2:$J$548)+SUMIF(Mercado_Receita!$S$2:$S$548,"44470BGeraçãoNão se aplicaNão se aplicaAPENão se aplicaNão se aplica",Mercado_Receita!$J$2:$J$548)</f>
        <v>0</v>
      </c>
      <c r="K12" s="13">
        <f>SUMIF(Mercado_Receita!$S$2:$S$548,"44501BGeraçãoNão se aplicaNão se aplicaTIPO 01Não se aplicaNão se aplica",Mercado_Receita!$J$2:$J$548)+SUMIF(Mercado_Receita!$S$2:$S$548,"44501BGeraçãoNão se aplicaNão se aplicaAPENão se aplicaNão se aplica",Mercado_Receita!$J$2:$J$548)</f>
        <v>0</v>
      </c>
      <c r="L12" s="13">
        <f>SUMIF(Mercado_Receita!$S$2:$S$548,"44531BGeraçãoNão se aplicaNão se aplicaTIPO 01Não se aplicaNão se aplica",Mercado_Receita!$J$2:$J$548)+SUMIF(Mercado_Receita!$S$2:$S$548,"44531BGeraçãoNão se aplicaNão se aplicaAPENão se aplicaNão se aplica",Mercado_Receita!$J$2:$J$548)</f>
        <v>0</v>
      </c>
      <c r="M12" s="13">
        <f>SUMIF(Mercado_Receita!$S$2:$S$548,"44562BGeraçãoNão se aplicaNão se aplicaTIPO 01Não se aplicaNão se aplica",Mercado_Receita!$J$2:$J$548)+SUMIF(Mercado_Receita!$S$2:$S$548,"44562BGeraçãoNão se aplicaNão se aplicaAPENão se aplicaNão se aplica",Mercado_Receita!$J$2:$J$548)</f>
        <v>0</v>
      </c>
      <c r="N12" s="13">
        <f>SUMIF(Mercado_Receita!$S$2:$S$548,"44593BGeraçãoNão se aplicaNão se aplicaTIPO 01Não se aplicaNão se aplica",Mercado_Receita!$J$2:$J$548)+SUMIF(Mercado_Receita!$S$2:$S$548,"44593BGeraçãoNão se aplicaNão se aplicaAPENão se aplicaNão se aplica",Mercado_Receita!$J$2:$J$548)</f>
        <v>0</v>
      </c>
      <c r="O12" s="13">
        <f>SUMIF(Mercado_Receita!$S$2:$S$548,"44621BGeraçãoNão se aplicaNão se aplicaTIPO 01Não se aplicaNão se aplica",Mercado_Receita!$J$2:$J$548)+SUMIF(Mercado_Receita!$S$2:$S$548,"44621BGeraçãoNão se aplicaNão se aplicaAPENão se aplicaNão se aplica",Mercado_Receita!$J$2:$J$548)</f>
        <v>0</v>
      </c>
      <c r="P12" s="13">
        <f>SUMIF(Mercado_Receita!$S$2:$S$548,"44652BGeraçãoNão se aplicaNão se aplicaTIPO 01Não se aplicaNão se aplica",Mercado_Receita!$J$2:$J$548)+SUMIF(Mercado_Receita!$S$2:$S$548,"44652BGeraçãoNão se aplicaNão se aplicaAPENão se aplicaNão se aplica",Mercado_Receita!$J$2:$J$548)</f>
        <v>0</v>
      </c>
      <c r="Q12" s="13">
        <f>SUMIF(Mercado_Receita!$S$2:$S$548,"44682BGeraçãoNão se aplicaNão se aplicaTIPO 01Não se aplicaNão se aplica",Mercado_Receita!$J$2:$J$548)+SUMIF(Mercado_Receita!$S$2:$S$548,"44682BGeraçãoNão se aplicaNão se aplicaAPENão se aplicaNão se aplica",Mercado_Receita!$J$2:$J$548)</f>
        <v>0</v>
      </c>
      <c r="R12" s="13">
        <f>SUMIF(Mercado_Receita!$S$2:$S$548,"44713BGeraçãoNão se aplicaNão se aplicaTIPO 01Não se aplicaNão se aplica",Mercado_Receita!$J$2:$J$548)+SUMIF(Mercado_Receita!$S$2:$S$548,"44713BGeraçãoNão se aplicaNão se aplicaAPENão se aplicaNão se aplica",Mercado_Receita!$J$2:$J$548)</f>
        <v>0</v>
      </c>
      <c r="S12" s="13">
        <f>SUMIF(Mercado_Receita!$S$2:$S$548,"44743BGeraçãoNão se aplicaNão se aplicaTIPO 01Não se aplicaNão se aplica",Mercado_Receita!$J$2:$J$548)+SUMIF(Mercado_Receita!$S$2:$S$548,"44743BGeraçãoNão se aplicaNão se aplicaAPENão se aplicaNão se aplica",Mercado_Receita!$J$2:$J$548)</f>
        <v>0</v>
      </c>
      <c r="T12" s="13">
        <f>SUMIF(Mercado_Receita!$S$2:$S$548,"44774BGeraçãoNão se aplicaNão se aplicaTIPO 01Não se aplicaNão se aplica",Mercado_Receita!$J$2:$J$548)+SUMIF(Mercado_Receita!$S$2:$S$548,"44774BGeraçãoNão se aplicaNão se aplicaAPENão se aplicaNão se aplica",Mercado_Receita!$J$2:$J$548)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77"/>
      <c r="E13" s="12" t="s">
        <v>83</v>
      </c>
      <c r="F13" s="12" t="s">
        <v>25</v>
      </c>
      <c r="G13" s="13" t="s">
        <v>9</v>
      </c>
      <c r="H13" s="13" t="s">
        <v>75</v>
      </c>
      <c r="I13" s="13">
        <f>SUMIF(Mercado_Receita!$S$2:$S$548,"44440BGeraçãoNão se aplicaNão se aplicaTIPO 02Não se aplicaNão se aplica",Mercado_Receita!$J$2:$J$548)+SUMIF(Mercado_Receita!$S$2:$S$548,"44440BGeraçãoNão se aplicaNão se aplicaAPENão se aplicaNão se aplica",Mercado_Receita!$J$2:$J$548)</f>
        <v>0</v>
      </c>
      <c r="J13" s="13">
        <f>SUMIF(Mercado_Receita!$S$2:$S$548,"44470BGeraçãoNão se aplicaNão se aplicaTIPO 02Não se aplicaNão se aplica",Mercado_Receita!$J$2:$J$548)+SUMIF(Mercado_Receita!$S$2:$S$548,"44470BGeraçãoNão se aplicaNão se aplicaAPENão se aplicaNão se aplica",Mercado_Receita!$J$2:$J$548)</f>
        <v>0</v>
      </c>
      <c r="K13" s="13">
        <f>SUMIF(Mercado_Receita!$S$2:$S$548,"44501BGeraçãoNão se aplicaNão se aplicaTIPO 02Não se aplicaNão se aplica",Mercado_Receita!$J$2:$J$548)+SUMIF(Mercado_Receita!$S$2:$S$548,"44501BGeraçãoNão se aplicaNão se aplicaAPENão se aplicaNão se aplica",Mercado_Receita!$J$2:$J$548)</f>
        <v>0</v>
      </c>
      <c r="L13" s="13">
        <f>SUMIF(Mercado_Receita!$S$2:$S$548,"44531BGeraçãoNão se aplicaNão se aplicaTIPO 02Não se aplicaNão se aplica",Mercado_Receita!$J$2:$J$548)+SUMIF(Mercado_Receita!$S$2:$S$548,"44531BGeraçãoNão se aplicaNão se aplicaAPENão se aplicaNão se aplica",Mercado_Receita!$J$2:$J$548)</f>
        <v>0</v>
      </c>
      <c r="M13" s="13">
        <f>SUMIF(Mercado_Receita!$S$2:$S$548,"44562BGeraçãoNão se aplicaNão se aplicaTIPO 02Não se aplicaNão se aplica",Mercado_Receita!$J$2:$J$548)+SUMIF(Mercado_Receita!$S$2:$S$548,"44562BGeraçãoNão se aplicaNão se aplicaAPENão se aplicaNão se aplica",Mercado_Receita!$J$2:$J$548)</f>
        <v>0</v>
      </c>
      <c r="N13" s="13">
        <f>SUMIF(Mercado_Receita!$S$2:$S$548,"44593BGeraçãoNão se aplicaNão se aplicaTIPO 02Não se aplicaNão se aplica",Mercado_Receita!$J$2:$J$548)+SUMIF(Mercado_Receita!$S$2:$S$548,"44593BGeraçãoNão se aplicaNão se aplicaAPENão se aplicaNão se aplica",Mercado_Receita!$J$2:$J$548)</f>
        <v>0</v>
      </c>
      <c r="O13" s="13">
        <f>SUMIF(Mercado_Receita!$S$2:$S$548,"44621BGeraçãoNão se aplicaNão se aplicaTIPO 02Não se aplicaNão se aplica",Mercado_Receita!$J$2:$J$548)+SUMIF(Mercado_Receita!$S$2:$S$548,"44621BGeraçãoNão se aplicaNão se aplicaAPENão se aplicaNão se aplica",Mercado_Receita!$J$2:$J$548)</f>
        <v>0</v>
      </c>
      <c r="P13" s="13">
        <f>SUMIF(Mercado_Receita!$S$2:$S$548,"44652BGeraçãoNão se aplicaNão se aplicaTIPO 02Não se aplicaNão se aplica",Mercado_Receita!$J$2:$J$548)+SUMIF(Mercado_Receita!$S$2:$S$548,"44652BGeraçãoNão se aplicaNão se aplicaAPENão se aplicaNão se aplica",Mercado_Receita!$J$2:$J$548)</f>
        <v>0</v>
      </c>
      <c r="Q13" s="13">
        <f>SUMIF(Mercado_Receita!$S$2:$S$548,"44682BGeraçãoNão se aplicaNão se aplicaTIPO 02Não se aplicaNão se aplica",Mercado_Receita!$J$2:$J$548)+SUMIF(Mercado_Receita!$S$2:$S$548,"44682BGeraçãoNão se aplicaNão se aplicaAPENão se aplicaNão se aplica",Mercado_Receita!$J$2:$J$548)</f>
        <v>0</v>
      </c>
      <c r="R13" s="13">
        <f>SUMIF(Mercado_Receita!$S$2:$S$548,"44713BGeraçãoNão se aplicaNão se aplicaTIPO 02Não se aplicaNão se aplica",Mercado_Receita!$J$2:$J$548)+SUMIF(Mercado_Receita!$S$2:$S$548,"44713BGeraçãoNão se aplicaNão se aplicaAPENão se aplicaNão se aplica",Mercado_Receita!$J$2:$J$548)</f>
        <v>0</v>
      </c>
      <c r="S13" s="13">
        <f>SUMIF(Mercado_Receita!$S$2:$S$548,"44743BGeraçãoNão se aplicaNão se aplicaTIPO 02Não se aplicaNão se aplica",Mercado_Receita!$J$2:$J$548)+SUMIF(Mercado_Receita!$S$2:$S$548,"44743BGeraçãoNão se aplicaNão se aplicaAPENão se aplicaNão se aplica",Mercado_Receita!$J$2:$J$548)</f>
        <v>0</v>
      </c>
      <c r="T13" s="13">
        <f>SUMIF(Mercado_Receita!$S$2:$S$548,"44774BGeraçãoNão se aplicaNão se aplicaTIPO 02Não se aplicaNão se aplica",Mercado_Receita!$J$2:$J$548)+SUMIF(Mercado_Receita!$S$2:$S$548,"44774BGeraçãoNão se aplicaNão se aplicaAPENão se aplicaNão se aplica",Mercado_Receita!$J$2:$J$548)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6" t="s">
        <v>22</v>
      </c>
      <c r="B14" s="76" t="s">
        <v>41</v>
      </c>
      <c r="C14" s="76" t="s">
        <v>24</v>
      </c>
      <c r="D14" s="76" t="s">
        <v>24</v>
      </c>
      <c r="E14" s="76" t="s">
        <v>25</v>
      </c>
      <c r="F14" s="76" t="s">
        <v>25</v>
      </c>
      <c r="G14" s="13" t="s">
        <v>73</v>
      </c>
      <c r="H14" s="13" t="s">
        <v>72</v>
      </c>
      <c r="I14" s="13">
        <f>SUMIF(Mercado_Receita!$S$2:$S$548,"44440B1BrancaResidencialResidencialNão se aplicaNão se aplicaPonta",Mercado_Receita!$L$2:$L$548)</f>
        <v>0</v>
      </c>
      <c r="J14" s="13">
        <f>SUMIF(Mercado_Receita!$S$2:$S$548,"44470B1BrancaResidencialResidencialNão se aplicaNão se aplicaPonta",Mercado_Receita!$L$2:$L$548)</f>
        <v>0</v>
      </c>
      <c r="K14" s="13">
        <f>SUMIF(Mercado_Receita!$S$2:$S$548,"44501B1BrancaResidencialResidencialNão se aplicaNão se aplicaPonta",Mercado_Receita!$L$2:$L$548)</f>
        <v>0</v>
      </c>
      <c r="L14" s="13">
        <f>SUMIF(Mercado_Receita!$S$2:$S$548,"44531B1BrancaResidencialResidencialNão se aplicaNão se aplicaPonta",Mercado_Receita!$L$2:$L$548)</f>
        <v>0</v>
      </c>
      <c r="M14" s="13">
        <f>SUMIF(Mercado_Receita!$S$2:$S$548,"44562B1BrancaResidencialResidencialNão se aplicaNão se aplicaPonta",Mercado_Receita!$L$2:$L$548)</f>
        <v>0</v>
      </c>
      <c r="N14" s="13">
        <f>SUMIF(Mercado_Receita!$S$2:$S$548,"44593B1BrancaResidencialResidencialNão se aplicaNão se aplicaPonta",Mercado_Receita!$L$2:$L$548)</f>
        <v>0</v>
      </c>
      <c r="O14" s="13">
        <f>SUMIF(Mercado_Receita!$S$2:$S$548,"44621B1BrancaResidencialResidencialNão se aplicaNão se aplicaPonta",Mercado_Receita!$L$2:$L$548)</f>
        <v>0</v>
      </c>
      <c r="P14" s="13">
        <f>SUMIF(Mercado_Receita!$S$2:$S$548,"44652B1BrancaResidencialResidencialNão se aplicaNão se aplicaPonta",Mercado_Receita!$L$2:$L$548)</f>
        <v>0</v>
      </c>
      <c r="Q14" s="13">
        <f>SUMIF(Mercado_Receita!$S$2:$S$548,"44682B1BrancaResidencialResidencialNão se aplicaNão se aplicaPonta",Mercado_Receita!$L$2:$L$548)</f>
        <v>0</v>
      </c>
      <c r="R14" s="13">
        <f>SUMIF(Mercado_Receita!$S$2:$S$548,"44713B1BrancaResidencialResidencialNão se aplicaNão se aplicaPonta",Mercado_Receita!$L$2:$L$548)</f>
        <v>0</v>
      </c>
      <c r="S14" s="13">
        <f>SUMIF(Mercado_Receita!$S$2:$S$548,"44743B1BrancaResidencialResidencialNão se aplicaNão se aplicaPonta",Mercado_Receita!$L$2:$L$548)</f>
        <v>0</v>
      </c>
      <c r="T14" s="13">
        <f>SUMIF(Mercado_Receita!$S$2:$S$548,"44774B1BrancaResidencialResidencialNão se aplicaNão se aplicaPonta",Mercado_Receita!$L$2:$L$548)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77"/>
      <c r="E15" s="77"/>
      <c r="F15" s="77"/>
      <c r="G15" s="13" t="s">
        <v>84</v>
      </c>
      <c r="H15" s="13" t="s">
        <v>72</v>
      </c>
      <c r="I15" s="13">
        <f>SUMIF(Mercado_Receita!$S$2:$S$548,"44440B1BrancaResidencialResidencialNão se aplicaNão se aplicaIntermediário",Mercado_Receita!$L$2:$L$548)</f>
        <v>0</v>
      </c>
      <c r="J15" s="13">
        <f>SUMIF(Mercado_Receita!$S$2:$S$548,"44470B1BrancaResidencialResidencialNão se aplicaNão se aplicaIntermediário",Mercado_Receita!$L$2:$L$548)</f>
        <v>0</v>
      </c>
      <c r="K15" s="13">
        <f>SUMIF(Mercado_Receita!$S$2:$S$548,"44501B1BrancaResidencialResidencialNão se aplicaNão se aplicaIntermediário",Mercado_Receita!$L$2:$L$548)</f>
        <v>0</v>
      </c>
      <c r="L15" s="13">
        <f>SUMIF(Mercado_Receita!$S$2:$S$548,"44531B1BrancaResidencialResidencialNão se aplicaNão se aplicaIntermediário",Mercado_Receita!$L$2:$L$548)</f>
        <v>0</v>
      </c>
      <c r="M15" s="13">
        <f>SUMIF(Mercado_Receita!$S$2:$S$548,"44562B1BrancaResidencialResidencialNão se aplicaNão se aplicaIntermediário",Mercado_Receita!$L$2:$L$548)</f>
        <v>0</v>
      </c>
      <c r="N15" s="13">
        <f>SUMIF(Mercado_Receita!$S$2:$S$548,"44593B1BrancaResidencialResidencialNão se aplicaNão se aplicaIntermediário",Mercado_Receita!$L$2:$L$548)</f>
        <v>0</v>
      </c>
      <c r="O15" s="13">
        <f>SUMIF(Mercado_Receita!$S$2:$S$548,"44621B1BrancaResidencialResidencialNão se aplicaNão se aplicaIntermediário",Mercado_Receita!$L$2:$L$548)</f>
        <v>0</v>
      </c>
      <c r="P15" s="13">
        <f>SUMIF(Mercado_Receita!$S$2:$S$548,"44652B1BrancaResidencialResidencialNão se aplicaNão se aplicaIntermediário",Mercado_Receita!$L$2:$L$548)</f>
        <v>0</v>
      </c>
      <c r="Q15" s="13">
        <f>SUMIF(Mercado_Receita!$S$2:$S$548,"44682B1BrancaResidencialResidencialNão se aplicaNão se aplicaIntermediário",Mercado_Receita!$L$2:$L$548)</f>
        <v>0</v>
      </c>
      <c r="R15" s="13">
        <f>SUMIF(Mercado_Receita!$S$2:$S$548,"44713B1BrancaResidencialResidencialNão se aplicaNão se aplicaIntermediário",Mercado_Receita!$L$2:$L$548)</f>
        <v>0</v>
      </c>
      <c r="S15" s="13">
        <f>SUMIF(Mercado_Receita!$S$2:$S$548,"44743B1BrancaResidencialResidencialNão se aplicaNão se aplicaIntermediário",Mercado_Receita!$L$2:$L$548)</f>
        <v>0</v>
      </c>
      <c r="T15" s="13">
        <f>SUMIF(Mercado_Receita!$S$2:$S$548,"44774B1BrancaResidencialResidencialNão se aplicaNão se aplicaIntermediário",Mercado_Receita!$L$2:$L$548)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77"/>
      <c r="E16" s="77"/>
      <c r="F16" s="77"/>
      <c r="G16" s="13" t="s">
        <v>74</v>
      </c>
      <c r="H16" s="13" t="s">
        <v>72</v>
      </c>
      <c r="I16" s="13">
        <f>SUMIF(Mercado_Receita!$S$2:$S$548,"44440B1BrancaResidencialResidencialNão se aplicaNão se aplicaFora ponta",Mercado_Receita!$L$2:$L$548)</f>
        <v>0</v>
      </c>
      <c r="J16" s="13">
        <f>SUMIF(Mercado_Receita!$S$2:$S$548,"44470B1BrancaResidencialResidencialNão se aplicaNão se aplicaFora ponta",Mercado_Receita!$L$2:$L$548)</f>
        <v>0</v>
      </c>
      <c r="K16" s="13">
        <f>SUMIF(Mercado_Receita!$S$2:$S$548,"44501B1BrancaResidencialResidencialNão se aplicaNão se aplicaFora ponta",Mercado_Receita!$L$2:$L$548)</f>
        <v>0</v>
      </c>
      <c r="L16" s="13">
        <f>SUMIF(Mercado_Receita!$S$2:$S$548,"44531B1BrancaResidencialResidencialNão se aplicaNão se aplicaFora ponta",Mercado_Receita!$L$2:$L$548)</f>
        <v>0</v>
      </c>
      <c r="M16" s="13">
        <f>SUMIF(Mercado_Receita!$S$2:$S$548,"44562B1BrancaResidencialResidencialNão se aplicaNão se aplicaFora ponta",Mercado_Receita!$L$2:$L$548)</f>
        <v>0</v>
      </c>
      <c r="N16" s="13">
        <f>SUMIF(Mercado_Receita!$S$2:$S$548,"44593B1BrancaResidencialResidencialNão se aplicaNão se aplicaFora ponta",Mercado_Receita!$L$2:$L$548)</f>
        <v>0</v>
      </c>
      <c r="O16" s="13">
        <f>SUMIF(Mercado_Receita!$S$2:$S$548,"44621B1BrancaResidencialResidencialNão se aplicaNão se aplicaFora ponta",Mercado_Receita!$L$2:$L$548)</f>
        <v>0</v>
      </c>
      <c r="P16" s="13">
        <f>SUMIF(Mercado_Receita!$S$2:$S$548,"44652B1BrancaResidencialResidencialNão se aplicaNão se aplicaFora ponta",Mercado_Receita!$L$2:$L$548)</f>
        <v>0</v>
      </c>
      <c r="Q16" s="13">
        <f>SUMIF(Mercado_Receita!$S$2:$S$548,"44682B1BrancaResidencialResidencialNão se aplicaNão se aplicaFora ponta",Mercado_Receita!$L$2:$L$548)</f>
        <v>0</v>
      </c>
      <c r="R16" s="13">
        <f>SUMIF(Mercado_Receita!$S$2:$S$548,"44713B1BrancaResidencialResidencialNão se aplicaNão se aplicaFora ponta",Mercado_Receita!$L$2:$L$548)</f>
        <v>0</v>
      </c>
      <c r="S16" s="13">
        <f>SUMIF(Mercado_Receita!$S$2:$S$548,"44743B1BrancaResidencialResidencialNão se aplicaNão se aplicaFora ponta",Mercado_Receita!$L$2:$L$548)</f>
        <v>0</v>
      </c>
      <c r="T16" s="13">
        <f>SUMIF(Mercado_Receita!$S$2:$S$548,"44774B1BrancaResidencialResidencialNão se aplicaNão se aplicaFora ponta",Mercado_Receita!$L$2:$L$548)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/>
      <c r="B17" s="76" t="s">
        <v>23</v>
      </c>
      <c r="C17" s="76" t="s">
        <v>24</v>
      </c>
      <c r="D17" s="12" t="s">
        <v>24</v>
      </c>
      <c r="E17" s="12" t="s">
        <v>25</v>
      </c>
      <c r="F17" s="12" t="s">
        <v>25</v>
      </c>
      <c r="G17" s="13" t="s">
        <v>78</v>
      </c>
      <c r="H17" s="13" t="s">
        <v>72</v>
      </c>
      <c r="I17" s="13">
        <f>SUMIF(Mercado_Receita!$S$2:$S$548,"44440B1ConvencionalResidencialResidencialNão se aplicaNão se aplicaPonta",Mercado_Receita!$L$2:$L$548)+SUMIF(Mercado_Receita!$S$2:$S$548,"44440B1ConvencionalResidencialResidencialNão se aplicaNão se aplicaFora ponta",Mercado_Receita!$L$2:$L$548)+SUMIF(Mercado_Receita!$S$2:$S$548,"44440B1ConvencionalResidencialResidencialNão se aplicaNão se aplicaIntermediário",Mercado_Receita!$L$2:$L$548)+SUMIF(Mercado_Receita!$S$2:$S$548,"44440B1ConvencionalResidencialResidencialNão se aplicaNão se aplicaNão se aplica",Mercado_Receita!$L$2:$L$548)</f>
        <v>2357.0360000000001</v>
      </c>
      <c r="J17" s="13">
        <f>SUMIF(Mercado_Receita!$S$2:$S$548,"44470B1ConvencionalResidencialResidencialNão se aplicaNão se aplicaPonta",Mercado_Receita!$L$2:$L$548)+SUMIF(Mercado_Receita!$S$2:$S$548,"44470B1ConvencionalResidencialResidencialNão se aplicaNão se aplicaFora ponta",Mercado_Receita!$L$2:$L$548)+SUMIF(Mercado_Receita!$S$2:$S$548,"44470B1ConvencionalResidencialResidencialNão se aplicaNão se aplicaIntermediário",Mercado_Receita!$L$2:$L$548)+SUMIF(Mercado_Receita!$S$2:$S$548,"44470B1ConvencionalResidencialResidencialNão se aplicaNão se aplicaNão se aplica",Mercado_Receita!$L$2:$L$548)</f>
        <v>2328.5419999999999</v>
      </c>
      <c r="K17" s="13">
        <f>SUMIF(Mercado_Receita!$S$2:$S$548,"44501B1ConvencionalResidencialResidencialNão se aplicaNão se aplicaPonta",Mercado_Receita!$L$2:$L$548)+SUMIF(Mercado_Receita!$S$2:$S$548,"44501B1ConvencionalResidencialResidencialNão se aplicaNão se aplicaFora ponta",Mercado_Receita!$L$2:$L$548)+SUMIF(Mercado_Receita!$S$2:$S$548,"44501B1ConvencionalResidencialResidencialNão se aplicaNão se aplicaIntermediário",Mercado_Receita!$L$2:$L$548)+SUMIF(Mercado_Receita!$S$2:$S$548,"44501B1ConvencionalResidencialResidencialNão se aplicaNão se aplicaNão se aplica",Mercado_Receita!$L$2:$L$548)</f>
        <v>2292.4160000000002</v>
      </c>
      <c r="L17" s="13">
        <f>SUMIF(Mercado_Receita!$S$2:$S$548,"44531B1ConvencionalResidencialResidencialNão se aplicaNão se aplicaPonta",Mercado_Receita!$L$2:$L$548)+SUMIF(Mercado_Receita!$S$2:$S$548,"44531B1ConvencionalResidencialResidencialNão se aplicaNão se aplicaFora ponta",Mercado_Receita!$L$2:$L$548)+SUMIF(Mercado_Receita!$S$2:$S$548,"44531B1ConvencionalResidencialResidencialNão se aplicaNão se aplicaIntermediário",Mercado_Receita!$L$2:$L$548)+SUMIF(Mercado_Receita!$S$2:$S$548,"44531B1ConvencionalResidencialResidencialNão se aplicaNão se aplicaNão se aplica",Mercado_Receita!$L$2:$L$548)</f>
        <v>2454.9779999999996</v>
      </c>
      <c r="M17" s="13">
        <f>SUMIF(Mercado_Receita!$S$2:$S$548,"44562B1ConvencionalResidencialResidencialNão se aplicaNão se aplicaPonta",Mercado_Receita!$L$2:$L$548)+SUMIF(Mercado_Receita!$S$2:$S$548,"44562B1ConvencionalResidencialResidencialNão se aplicaNão se aplicaFora ponta",Mercado_Receita!$L$2:$L$548)+SUMIF(Mercado_Receita!$S$2:$S$548,"44562B1ConvencionalResidencialResidencialNão se aplicaNão se aplicaIntermediário",Mercado_Receita!$L$2:$L$548)+SUMIF(Mercado_Receita!$S$2:$S$548,"44562B1ConvencionalResidencialResidencialNão se aplicaNão se aplicaNão se aplica",Mercado_Receita!$L$2:$L$548)</f>
        <v>2983.828</v>
      </c>
      <c r="N17" s="13">
        <f>SUMIF(Mercado_Receita!$S$2:$S$548,"44593B1ConvencionalResidencialResidencialNão se aplicaNão se aplicaPonta",Mercado_Receita!$L$2:$L$548)+SUMIF(Mercado_Receita!$S$2:$S$548,"44593B1ConvencionalResidencialResidencialNão se aplicaNão se aplicaFora ponta",Mercado_Receita!$L$2:$L$548)+SUMIF(Mercado_Receita!$S$2:$S$548,"44593B1ConvencionalResidencialResidencialNão se aplicaNão se aplicaIntermediário",Mercado_Receita!$L$2:$L$548)+SUMIF(Mercado_Receita!$S$2:$S$548,"44593B1ConvencionalResidencialResidencialNão se aplicaNão se aplicaNão se aplica",Mercado_Receita!$L$2:$L$548)</f>
        <v>3012.11</v>
      </c>
      <c r="O17" s="13">
        <f>SUMIF(Mercado_Receita!$S$2:$S$548,"44621B1ConvencionalResidencialResidencialNão se aplicaNão se aplicaPonta",Mercado_Receita!$L$2:$L$548)+SUMIF(Mercado_Receita!$S$2:$S$548,"44621B1ConvencionalResidencialResidencialNão se aplicaNão se aplicaFora ponta",Mercado_Receita!$L$2:$L$548)+SUMIF(Mercado_Receita!$S$2:$S$548,"44621B1ConvencionalResidencialResidencialNão se aplicaNão se aplicaIntermediário",Mercado_Receita!$L$2:$L$548)+SUMIF(Mercado_Receita!$S$2:$S$548,"44621B1ConvencionalResidencialResidencialNão se aplicaNão se aplicaNão se aplica",Mercado_Receita!$L$2:$L$548)</f>
        <v>2771.1080000000002</v>
      </c>
      <c r="P17" s="13">
        <f>SUMIF(Mercado_Receita!$S$2:$S$548,"44652B1ConvencionalResidencialResidencialNão se aplicaNão se aplicaPonta",Mercado_Receita!$L$2:$L$548)+SUMIF(Mercado_Receita!$S$2:$S$548,"44652B1ConvencionalResidencialResidencialNão se aplicaNão se aplicaFora ponta",Mercado_Receita!$L$2:$L$548)+SUMIF(Mercado_Receita!$S$2:$S$548,"44652B1ConvencionalResidencialResidencialNão se aplicaNão se aplicaIntermediário",Mercado_Receita!$L$2:$L$548)+SUMIF(Mercado_Receita!$S$2:$S$548,"44652B1ConvencionalResidencialResidencialNão se aplicaNão se aplicaNão se aplica",Mercado_Receita!$L$2:$L$548)</f>
        <v>2423.7610000000004</v>
      </c>
      <c r="Q17" s="13">
        <f>SUMIF(Mercado_Receita!$S$2:$S$548,"44682B1ConvencionalResidencialResidencialNão se aplicaNão se aplicaPonta",Mercado_Receita!$L$2:$L$548)+SUMIF(Mercado_Receita!$S$2:$S$548,"44682B1ConvencionalResidencialResidencialNão se aplicaNão se aplicaFora ponta",Mercado_Receita!$L$2:$L$548)+SUMIF(Mercado_Receita!$S$2:$S$548,"44682B1ConvencionalResidencialResidencialNão se aplicaNão se aplicaIntermediário",Mercado_Receita!$L$2:$L$548)+SUMIF(Mercado_Receita!$S$2:$S$548,"44682B1ConvencionalResidencialResidencialNão se aplicaNão se aplicaNão se aplica",Mercado_Receita!$L$2:$L$548)</f>
        <v>2213.8559999999998</v>
      </c>
      <c r="R17" s="13">
        <f>SUMIF(Mercado_Receita!$S$2:$S$548,"44713B1ConvencionalResidencialResidencialNão se aplicaNão se aplicaPonta",Mercado_Receita!$L$2:$L$548)+SUMIF(Mercado_Receita!$S$2:$S$548,"44713B1ConvencionalResidencialResidencialNão se aplicaNão se aplicaFora ponta",Mercado_Receita!$L$2:$L$548)+SUMIF(Mercado_Receita!$S$2:$S$548,"44713B1ConvencionalResidencialResidencialNão se aplicaNão se aplicaIntermediário",Mercado_Receita!$L$2:$L$548)+SUMIF(Mercado_Receita!$S$2:$S$548,"44713B1ConvencionalResidencialResidencialNão se aplicaNão se aplicaNão se aplica",Mercado_Receita!$L$2:$L$548)</f>
        <v>2505.1860000000001</v>
      </c>
      <c r="S17" s="13">
        <f>SUMIF(Mercado_Receita!$S$2:$S$548,"44743B1ConvencionalResidencialResidencialNão se aplicaNão se aplicaPonta",Mercado_Receita!$L$2:$L$548)+SUMIF(Mercado_Receita!$S$2:$S$548,"44743B1ConvencionalResidencialResidencialNão se aplicaNão se aplicaFora ponta",Mercado_Receita!$L$2:$L$548)+SUMIF(Mercado_Receita!$S$2:$S$548,"44743B1ConvencionalResidencialResidencialNão se aplicaNão se aplicaIntermediário",Mercado_Receita!$L$2:$L$548)+SUMIF(Mercado_Receita!$S$2:$S$548,"44743B1ConvencionalResidencialResidencialNão se aplicaNão se aplicaNão se aplica",Mercado_Receita!$L$2:$L$548)</f>
        <v>2414.7069999999999</v>
      </c>
      <c r="T17" s="13">
        <f>SUMIF(Mercado_Receita!$S$2:$S$548,"44774B1ConvencionalResidencialResidencialNão se aplicaNão se aplicaPonta",Mercado_Receita!$L$2:$L$548)+SUMIF(Mercado_Receita!$S$2:$S$548,"44774B1ConvencionalResidencialResidencialNão se aplicaNão se aplicaFora ponta",Mercado_Receita!$L$2:$L$548)+SUMIF(Mercado_Receita!$S$2:$S$548,"44774B1ConvencionalResidencialResidencialNão se aplicaNão se aplicaIntermediário",Mercado_Receita!$L$2:$L$548)+SUMIF(Mercado_Receita!$S$2:$S$548,"44774B1ConvencionalResidencialResidencialNão se aplicaNão se aplicaNão se aplica",Mercado_Receita!$L$2:$L$548)</f>
        <v>2414.7069999999999</v>
      </c>
      <c r="U17" s="13">
        <f t="shared" si="0"/>
        <v>30172.235000000001</v>
      </c>
      <c r="V17" s="13"/>
      <c r="W17" s="13"/>
    </row>
    <row r="18" spans="1:23" ht="11.25" customHeight="1" x14ac:dyDescent="0.25">
      <c r="A18" s="77"/>
      <c r="B18" s="77"/>
      <c r="C18" s="77"/>
      <c r="D18" s="12" t="s">
        <v>29</v>
      </c>
      <c r="E18" s="12" t="s">
        <v>25</v>
      </c>
      <c r="F18" s="12" t="s">
        <v>25</v>
      </c>
      <c r="G18" s="13" t="s">
        <v>78</v>
      </c>
      <c r="H18" s="13" t="s">
        <v>72</v>
      </c>
      <c r="I18" s="13">
        <f>SUMIF(Mercado_Receita!$S$2:$S$548,"44440B1ConvencionalResidencialResidencial baixa renda – faixa 01Não se aplicaNão se aplicaPonta",Mercado_Receita!$L$2:$L$548)+SUMIF(Mercado_Receita!$S$2:$S$548,"44440B1ConvencionalResidencialResidencial baixa renda – faixa 01Não se aplicaNão se aplicaFora ponta",Mercado_Receita!$L$2:$L$548)+SUMIF(Mercado_Receita!$S$2:$S$548,"44440B1ConvencionalResidencialResidencial baixa renda – faixa 01Não se aplicaNão se aplicaIntermediário",Mercado_Receita!$L$2:$L$548)+SUMIF(Mercado_Receita!$S$2:$S$548,"44440B1ConvencionalResidencialResidencial baixa renda – faixa 01Não se aplicaNão se aplicaNão se aplica",Mercado_Receita!$L$2:$L$548)</f>
        <v>15.03</v>
      </c>
      <c r="J18" s="13">
        <f>SUMIF(Mercado_Receita!$S$2:$S$548,"44470B1ConvencionalResidencialResidencial baixa renda – faixa 01Não se aplicaNão se aplicaPonta",Mercado_Receita!$L$2:$L$548)+SUMIF(Mercado_Receita!$S$2:$S$548,"44470B1ConvencionalResidencialResidencial baixa renda – faixa 01Não se aplicaNão se aplicaFora ponta",Mercado_Receita!$L$2:$L$548)+SUMIF(Mercado_Receita!$S$2:$S$548,"44470B1ConvencionalResidencialResidencial baixa renda – faixa 01Não se aplicaNão se aplicaIntermediário",Mercado_Receita!$L$2:$L$548)+SUMIF(Mercado_Receita!$S$2:$S$548,"44470B1ConvencionalResidencialResidencial baixa renda – faixa 01Não se aplicaNão se aplicaNão se aplica",Mercado_Receita!$L$2:$L$548)</f>
        <v>15.36</v>
      </c>
      <c r="K18" s="13">
        <f>SUMIF(Mercado_Receita!$S$2:$S$548,"44501B1ConvencionalResidencialResidencial baixa renda – faixa 01Não se aplicaNão se aplicaPonta",Mercado_Receita!$L$2:$L$548)+SUMIF(Mercado_Receita!$S$2:$S$548,"44501B1ConvencionalResidencialResidencial baixa renda – faixa 01Não se aplicaNão se aplicaFora ponta",Mercado_Receita!$L$2:$L$548)+SUMIF(Mercado_Receita!$S$2:$S$548,"44501B1ConvencionalResidencialResidencial baixa renda – faixa 01Não se aplicaNão se aplicaIntermediário",Mercado_Receita!$L$2:$L$548)+SUMIF(Mercado_Receita!$S$2:$S$548,"44501B1ConvencionalResidencialResidencial baixa renda – faixa 01Não se aplicaNão se aplicaNão se aplica",Mercado_Receita!$L$2:$L$548)</f>
        <v>15.48</v>
      </c>
      <c r="L18" s="13">
        <f>SUMIF(Mercado_Receita!$S$2:$S$548,"44531B1ConvencionalResidencialResidencial baixa renda – faixa 01Não se aplicaNão se aplicaPonta",Mercado_Receita!$L$2:$L$548)+SUMIF(Mercado_Receita!$S$2:$S$548,"44531B1ConvencionalResidencialResidencial baixa renda – faixa 01Não se aplicaNão se aplicaFora ponta",Mercado_Receita!$L$2:$L$548)+SUMIF(Mercado_Receita!$S$2:$S$548,"44531B1ConvencionalResidencialResidencial baixa renda – faixa 01Não se aplicaNão se aplicaIntermediário",Mercado_Receita!$L$2:$L$548)+SUMIF(Mercado_Receita!$S$2:$S$548,"44531B1ConvencionalResidencialResidencial baixa renda – faixa 01Não se aplicaNão se aplicaNão se aplica",Mercado_Receita!$L$2:$L$548)</f>
        <v>15.587999999999999</v>
      </c>
      <c r="M18" s="13">
        <f>SUMIF(Mercado_Receita!$S$2:$S$548,"44562B1ConvencionalResidencialResidencial baixa renda – faixa 01Não se aplicaNão se aplicaPonta",Mercado_Receita!$L$2:$L$548)+SUMIF(Mercado_Receita!$S$2:$S$548,"44562B1ConvencionalResidencialResidencial baixa renda – faixa 01Não se aplicaNão se aplicaFora ponta",Mercado_Receita!$L$2:$L$548)+SUMIF(Mercado_Receita!$S$2:$S$548,"44562B1ConvencionalResidencialResidencial baixa renda – faixa 01Não se aplicaNão se aplicaIntermediário",Mercado_Receita!$L$2:$L$548)+SUMIF(Mercado_Receita!$S$2:$S$548,"44562B1ConvencionalResidencialResidencial baixa renda – faixa 01Não se aplicaNão se aplicaNão se aplica",Mercado_Receita!$L$2:$L$548)</f>
        <v>15.54</v>
      </c>
      <c r="N18" s="13">
        <f>SUMIF(Mercado_Receita!$S$2:$S$548,"44593B1ConvencionalResidencialResidencial baixa renda – faixa 01Não se aplicaNão se aplicaPonta",Mercado_Receita!$L$2:$L$548)+SUMIF(Mercado_Receita!$S$2:$S$548,"44593B1ConvencionalResidencialResidencial baixa renda – faixa 01Não se aplicaNão se aplicaFora ponta",Mercado_Receita!$L$2:$L$548)+SUMIF(Mercado_Receita!$S$2:$S$548,"44593B1ConvencionalResidencialResidencial baixa renda – faixa 01Não se aplicaNão se aplicaIntermediário",Mercado_Receita!$L$2:$L$548)+SUMIF(Mercado_Receita!$S$2:$S$548,"44593B1ConvencionalResidencialResidencial baixa renda – faixa 01Não se aplicaNão se aplicaNão se aplica",Mercado_Receita!$L$2:$L$548)</f>
        <v>15.72</v>
      </c>
      <c r="O18" s="13">
        <f>SUMIF(Mercado_Receita!$S$2:$S$548,"44621B1ConvencionalResidencialResidencial baixa renda – faixa 01Não se aplicaNão se aplicaPonta",Mercado_Receita!$L$2:$L$548)+SUMIF(Mercado_Receita!$S$2:$S$548,"44621B1ConvencionalResidencialResidencial baixa renda – faixa 01Não se aplicaNão se aplicaFora ponta",Mercado_Receita!$L$2:$L$548)+SUMIF(Mercado_Receita!$S$2:$S$548,"44621B1ConvencionalResidencialResidencial baixa renda – faixa 01Não se aplicaNão se aplicaIntermediário",Mercado_Receita!$L$2:$L$548)+SUMIF(Mercado_Receita!$S$2:$S$548,"44621B1ConvencionalResidencialResidencial baixa renda – faixa 01Não se aplicaNão se aplicaNão se aplica",Mercado_Receita!$L$2:$L$548)</f>
        <v>16.2</v>
      </c>
      <c r="P18" s="13">
        <f>SUMIF(Mercado_Receita!$S$2:$S$548,"44652B1ConvencionalResidencialResidencial baixa renda – faixa 01Não se aplicaNão se aplicaPonta",Mercado_Receita!$L$2:$L$548)+SUMIF(Mercado_Receita!$S$2:$S$548,"44652B1ConvencionalResidencialResidencial baixa renda – faixa 01Não se aplicaNão se aplicaFora ponta",Mercado_Receita!$L$2:$L$548)+SUMIF(Mercado_Receita!$S$2:$S$548,"44652B1ConvencionalResidencialResidencial baixa renda – faixa 01Não se aplicaNão se aplicaIntermediário",Mercado_Receita!$L$2:$L$548)+SUMIF(Mercado_Receita!$S$2:$S$548,"44652B1ConvencionalResidencialResidencial baixa renda – faixa 01Não se aplicaNão se aplicaNão se aplica",Mercado_Receita!$L$2:$L$548)</f>
        <v>16.71</v>
      </c>
      <c r="Q18" s="13">
        <f>SUMIF(Mercado_Receita!$S$2:$S$548,"44682B1ConvencionalResidencialResidencial baixa renda – faixa 01Não se aplicaNão se aplicaPonta",Mercado_Receita!$L$2:$L$548)+SUMIF(Mercado_Receita!$S$2:$S$548,"44682B1ConvencionalResidencialResidencial baixa renda – faixa 01Não se aplicaNão se aplicaFora ponta",Mercado_Receita!$L$2:$L$548)+SUMIF(Mercado_Receita!$S$2:$S$548,"44682B1ConvencionalResidencialResidencial baixa renda – faixa 01Não se aplicaNão se aplicaIntermediário",Mercado_Receita!$L$2:$L$548)+SUMIF(Mercado_Receita!$S$2:$S$548,"44682B1ConvencionalResidencialResidencial baixa renda – faixa 01Não se aplicaNão se aplicaNão se aplica",Mercado_Receita!$L$2:$L$548)</f>
        <v>18.239999999999998</v>
      </c>
      <c r="R18" s="13">
        <f>SUMIF(Mercado_Receita!$S$2:$S$548,"44713B1ConvencionalResidencialResidencial baixa renda – faixa 01Não se aplicaNão se aplicaPonta",Mercado_Receita!$L$2:$L$548)+SUMIF(Mercado_Receita!$S$2:$S$548,"44713B1ConvencionalResidencialResidencial baixa renda – faixa 01Não se aplicaNão se aplicaFora ponta",Mercado_Receita!$L$2:$L$548)+SUMIF(Mercado_Receita!$S$2:$S$548,"44713B1ConvencionalResidencialResidencial baixa renda – faixa 01Não se aplicaNão se aplicaIntermediário",Mercado_Receita!$L$2:$L$548)+SUMIF(Mercado_Receita!$S$2:$S$548,"44713B1ConvencionalResidencialResidencial baixa renda – faixa 01Não se aplicaNão se aplicaNão se aplica",Mercado_Receita!$L$2:$L$548)</f>
        <v>15.809999999999999</v>
      </c>
      <c r="S18" s="13">
        <f>SUMIF(Mercado_Receita!$S$2:$S$548,"44743B1ConvencionalResidencialResidencial baixa renda – faixa 01Não se aplicaNão se aplicaPonta",Mercado_Receita!$L$2:$L$548)+SUMIF(Mercado_Receita!$S$2:$S$548,"44743B1ConvencionalResidencialResidencial baixa renda – faixa 01Não se aplicaNão se aplicaFora ponta",Mercado_Receita!$L$2:$L$548)+SUMIF(Mercado_Receita!$S$2:$S$548,"44743B1ConvencionalResidencialResidencial baixa renda – faixa 01Não se aplicaNão se aplicaIntermediário",Mercado_Receita!$L$2:$L$548)+SUMIF(Mercado_Receita!$S$2:$S$548,"44743B1ConvencionalResidencialResidencial baixa renda – faixa 01Não se aplicaNão se aplicaNão se aplica",Mercado_Receita!$L$2:$L$548)</f>
        <v>16.05</v>
      </c>
      <c r="T18" s="13">
        <f>SUMIF(Mercado_Receita!$S$2:$S$548,"44774B1ConvencionalResidencialResidencial baixa renda – faixa 01Não se aplicaNão se aplicaPonta",Mercado_Receita!$L$2:$L$548)+SUMIF(Mercado_Receita!$S$2:$S$548,"44774B1ConvencionalResidencialResidencial baixa renda – faixa 01Não se aplicaNão se aplicaFora ponta",Mercado_Receita!$L$2:$L$548)+SUMIF(Mercado_Receita!$S$2:$S$548,"44774B1ConvencionalResidencialResidencial baixa renda – faixa 01Não se aplicaNão se aplicaIntermediário",Mercado_Receita!$L$2:$L$548)+SUMIF(Mercado_Receita!$S$2:$S$548,"44774B1ConvencionalResidencialResidencial baixa renda – faixa 01Não se aplicaNão se aplicaNão se aplica",Mercado_Receita!$L$2:$L$548)</f>
        <v>16.05</v>
      </c>
      <c r="U18" s="13">
        <f t="shared" si="0"/>
        <v>191.77800000000005</v>
      </c>
      <c r="V18" s="13"/>
      <c r="W18" s="13"/>
    </row>
    <row r="19" spans="1:23" ht="11.25" customHeight="1" x14ac:dyDescent="0.25">
      <c r="A19" s="77"/>
      <c r="B19" s="77"/>
      <c r="C19" s="77"/>
      <c r="D19" s="12" t="s">
        <v>30</v>
      </c>
      <c r="E19" s="12" t="s">
        <v>25</v>
      </c>
      <c r="F19" s="12" t="s">
        <v>25</v>
      </c>
      <c r="G19" s="13" t="s">
        <v>78</v>
      </c>
      <c r="H19" s="13" t="s">
        <v>72</v>
      </c>
      <c r="I19" s="13">
        <f>SUMIF(Mercado_Receita!$S$2:$S$548,"44440B1ConvencionalResidencialResidencial baixa renda – faixa 02Não se aplicaNão se aplicaPonta",Mercado_Receita!$L$2:$L$548)+SUMIF(Mercado_Receita!$S$2:$S$548,"44440B1ConvencionalResidencialResidencial baixa renda – faixa 02Não se aplicaNão se aplicaFora ponta",Mercado_Receita!$L$2:$L$548)+SUMIF(Mercado_Receita!$S$2:$S$548,"44440B1ConvencionalResidencialResidencial baixa renda – faixa 02Não se aplicaNão se aplicaIntermediário",Mercado_Receita!$L$2:$L$548)+SUMIF(Mercado_Receita!$S$2:$S$548,"44440B1ConvencionalResidencialResidencial baixa renda – faixa 02Não se aplicaNão se aplicaNão se aplica",Mercado_Receita!$L$2:$L$548)</f>
        <v>32.567999999999998</v>
      </c>
      <c r="J19" s="13">
        <f>SUMIF(Mercado_Receita!$S$2:$S$548,"44470B1ConvencionalResidencialResidencial baixa renda – faixa 02Não se aplicaNão se aplicaPonta",Mercado_Receita!$L$2:$L$548)+SUMIF(Mercado_Receita!$S$2:$S$548,"44470B1ConvencionalResidencialResidencial baixa renda – faixa 02Não se aplicaNão se aplicaFora ponta",Mercado_Receita!$L$2:$L$548)+SUMIF(Mercado_Receita!$S$2:$S$548,"44470B1ConvencionalResidencialResidencial baixa renda – faixa 02Não se aplicaNão se aplicaIntermediário",Mercado_Receita!$L$2:$L$548)+SUMIF(Mercado_Receita!$S$2:$S$548,"44470B1ConvencionalResidencialResidencial baixa renda – faixa 02Não se aplicaNão se aplicaNão se aplica",Mercado_Receita!$L$2:$L$548)</f>
        <v>33.546999999999997</v>
      </c>
      <c r="K19" s="13">
        <f>SUMIF(Mercado_Receita!$S$2:$S$548,"44501B1ConvencionalResidencialResidencial baixa renda – faixa 02Não se aplicaNão se aplicaPonta",Mercado_Receita!$L$2:$L$548)+SUMIF(Mercado_Receita!$S$2:$S$548,"44501B1ConvencionalResidencialResidencial baixa renda – faixa 02Não se aplicaNão se aplicaFora ponta",Mercado_Receita!$L$2:$L$548)+SUMIF(Mercado_Receita!$S$2:$S$548,"44501B1ConvencionalResidencialResidencial baixa renda – faixa 02Não se aplicaNão se aplicaIntermediário",Mercado_Receita!$L$2:$L$548)+SUMIF(Mercado_Receita!$S$2:$S$548,"44501B1ConvencionalResidencialResidencial baixa renda – faixa 02Não se aplicaNão se aplicaNão se aplica",Mercado_Receita!$L$2:$L$548)</f>
        <v>34.073</v>
      </c>
      <c r="L19" s="13">
        <f>SUMIF(Mercado_Receita!$S$2:$S$548,"44531B1ConvencionalResidencialResidencial baixa renda – faixa 02Não se aplicaNão se aplicaPonta",Mercado_Receita!$L$2:$L$548)+SUMIF(Mercado_Receita!$S$2:$S$548,"44531B1ConvencionalResidencialResidencial baixa renda – faixa 02Não se aplicaNão se aplicaFora ponta",Mercado_Receita!$L$2:$L$548)+SUMIF(Mercado_Receita!$S$2:$S$548,"44531B1ConvencionalResidencialResidencial baixa renda – faixa 02Não se aplicaNão se aplicaIntermediário",Mercado_Receita!$L$2:$L$548)+SUMIF(Mercado_Receita!$S$2:$S$548,"44531B1ConvencionalResidencialResidencial baixa renda – faixa 02Não se aplicaNão se aplicaNão se aplica",Mercado_Receita!$L$2:$L$548)</f>
        <v>34.677</v>
      </c>
      <c r="M19" s="13">
        <f>SUMIF(Mercado_Receita!$S$2:$S$548,"44562B1ConvencionalResidencialResidencial baixa renda – faixa 02Não se aplicaNão se aplicaPonta",Mercado_Receita!$L$2:$L$548)+SUMIF(Mercado_Receita!$S$2:$S$548,"44562B1ConvencionalResidencialResidencial baixa renda – faixa 02Não se aplicaNão se aplicaFora ponta",Mercado_Receita!$L$2:$L$548)+SUMIF(Mercado_Receita!$S$2:$S$548,"44562B1ConvencionalResidencialResidencial baixa renda – faixa 02Não se aplicaNão se aplicaIntermediário",Mercado_Receita!$L$2:$L$548)+SUMIF(Mercado_Receita!$S$2:$S$548,"44562B1ConvencionalResidencialResidencial baixa renda – faixa 02Não se aplicaNão se aplicaNão se aplica",Mercado_Receita!$L$2:$L$548)</f>
        <v>35.03</v>
      </c>
      <c r="N19" s="13">
        <f>SUMIF(Mercado_Receita!$S$2:$S$548,"44593B1ConvencionalResidencialResidencial baixa renda – faixa 02Não se aplicaNão se aplicaPonta",Mercado_Receita!$L$2:$L$548)+SUMIF(Mercado_Receita!$S$2:$S$548,"44593B1ConvencionalResidencialResidencial baixa renda – faixa 02Não se aplicaNão se aplicaFora ponta",Mercado_Receita!$L$2:$L$548)+SUMIF(Mercado_Receita!$S$2:$S$548,"44593B1ConvencionalResidencialResidencial baixa renda – faixa 02Não se aplicaNão se aplicaIntermediário",Mercado_Receita!$L$2:$L$548)+SUMIF(Mercado_Receita!$S$2:$S$548,"44593B1ConvencionalResidencialResidencial baixa renda – faixa 02Não se aplicaNão se aplicaNão se aplica",Mercado_Receita!$L$2:$L$548)</f>
        <v>35.380000000000003</v>
      </c>
      <c r="O19" s="13">
        <f>SUMIF(Mercado_Receita!$S$2:$S$548,"44621B1ConvencionalResidencialResidencial baixa renda – faixa 02Não se aplicaNão se aplicaPonta",Mercado_Receita!$L$2:$L$548)+SUMIF(Mercado_Receita!$S$2:$S$548,"44621B1ConvencionalResidencialResidencial baixa renda – faixa 02Não se aplicaNão se aplicaFora ponta",Mercado_Receita!$L$2:$L$548)+SUMIF(Mercado_Receita!$S$2:$S$548,"44621B1ConvencionalResidencialResidencial baixa renda – faixa 02Não se aplicaNão se aplicaIntermediário",Mercado_Receita!$L$2:$L$548)+SUMIF(Mercado_Receita!$S$2:$S$548,"44621B1ConvencionalResidencialResidencial baixa renda – faixa 02Não se aplicaNão se aplicaNão se aplica",Mercado_Receita!$L$2:$L$548)</f>
        <v>36.417999999999999</v>
      </c>
      <c r="P19" s="13">
        <f>SUMIF(Mercado_Receita!$S$2:$S$548,"44652B1ConvencionalResidencialResidencial baixa renda – faixa 02Não se aplicaNão se aplicaPonta",Mercado_Receita!$L$2:$L$548)+SUMIF(Mercado_Receita!$S$2:$S$548,"44652B1ConvencionalResidencialResidencial baixa renda – faixa 02Não se aplicaNão se aplicaFora ponta",Mercado_Receita!$L$2:$L$548)+SUMIF(Mercado_Receita!$S$2:$S$548,"44652B1ConvencionalResidencialResidencial baixa renda – faixa 02Não se aplicaNão se aplicaIntermediário",Mercado_Receita!$L$2:$L$548)+SUMIF(Mercado_Receita!$S$2:$S$548,"44652B1ConvencionalResidencialResidencial baixa renda – faixa 02Não se aplicaNão se aplicaNão se aplica",Mercado_Receita!$L$2:$L$548)</f>
        <v>37.302</v>
      </c>
      <c r="Q19" s="13">
        <f>SUMIF(Mercado_Receita!$S$2:$S$548,"44682B1ConvencionalResidencialResidencial baixa renda – faixa 02Não se aplicaNão se aplicaPonta",Mercado_Receita!$L$2:$L$548)+SUMIF(Mercado_Receita!$S$2:$S$548,"44682B1ConvencionalResidencialResidencial baixa renda – faixa 02Não se aplicaNão se aplicaFora ponta",Mercado_Receita!$L$2:$L$548)+SUMIF(Mercado_Receita!$S$2:$S$548,"44682B1ConvencionalResidencialResidencial baixa renda – faixa 02Não se aplicaNão se aplicaIntermediário",Mercado_Receita!$L$2:$L$548)+SUMIF(Mercado_Receita!$S$2:$S$548,"44682B1ConvencionalResidencialResidencial baixa renda – faixa 02Não se aplicaNão se aplicaNão se aplica",Mercado_Receita!$L$2:$L$548)</f>
        <v>38.965000000000003</v>
      </c>
      <c r="R19" s="13">
        <f>SUMIF(Mercado_Receita!$S$2:$S$548,"44713B1ConvencionalResidencialResidencial baixa renda – faixa 02Não se aplicaNão se aplicaPonta",Mercado_Receita!$L$2:$L$548)+SUMIF(Mercado_Receita!$S$2:$S$548,"44713B1ConvencionalResidencialResidencial baixa renda – faixa 02Não se aplicaNão se aplicaFora ponta",Mercado_Receita!$L$2:$L$548)+SUMIF(Mercado_Receita!$S$2:$S$548,"44713B1ConvencionalResidencialResidencial baixa renda – faixa 02Não se aplicaNão se aplicaIntermediário",Mercado_Receita!$L$2:$L$548)+SUMIF(Mercado_Receita!$S$2:$S$548,"44713B1ConvencionalResidencialResidencial baixa renda – faixa 02Não se aplicaNão se aplicaNão se aplica",Mercado_Receita!$L$2:$L$548)</f>
        <v>33.945</v>
      </c>
      <c r="S19" s="13">
        <f>SUMIF(Mercado_Receita!$S$2:$S$548,"44743B1ConvencionalResidencialResidencial baixa renda – faixa 02Não se aplicaNão se aplicaPonta",Mercado_Receita!$L$2:$L$548)+SUMIF(Mercado_Receita!$S$2:$S$548,"44743B1ConvencionalResidencialResidencial baixa renda – faixa 02Não se aplicaNão se aplicaFora ponta",Mercado_Receita!$L$2:$L$548)+SUMIF(Mercado_Receita!$S$2:$S$548,"44743B1ConvencionalResidencialResidencial baixa renda – faixa 02Não se aplicaNão se aplicaIntermediário",Mercado_Receita!$L$2:$L$548)+SUMIF(Mercado_Receita!$S$2:$S$548,"44743B1ConvencionalResidencialResidencial baixa renda – faixa 02Não se aplicaNão se aplicaNão se aplica",Mercado_Receita!$L$2:$L$548)</f>
        <v>34.945</v>
      </c>
      <c r="T19" s="13">
        <f>SUMIF(Mercado_Receita!$S$2:$S$548,"44774B1ConvencionalResidencialResidencial baixa renda – faixa 02Não se aplicaNão se aplicaPonta",Mercado_Receita!$L$2:$L$548)+SUMIF(Mercado_Receita!$S$2:$S$548,"44774B1ConvencionalResidencialResidencial baixa renda – faixa 02Não se aplicaNão se aplicaFora ponta",Mercado_Receita!$L$2:$L$548)+SUMIF(Mercado_Receita!$S$2:$S$548,"44774B1ConvencionalResidencialResidencial baixa renda – faixa 02Não se aplicaNão se aplicaIntermediário",Mercado_Receita!$L$2:$L$548)+SUMIF(Mercado_Receita!$S$2:$S$548,"44774B1ConvencionalResidencialResidencial baixa renda – faixa 02Não se aplicaNão se aplicaNão se aplica",Mercado_Receita!$L$2:$L$548)</f>
        <v>34.945</v>
      </c>
      <c r="U19" s="13">
        <f t="shared" si="0"/>
        <v>421.79500000000002</v>
      </c>
      <c r="V19" s="13"/>
      <c r="W19" s="13"/>
    </row>
    <row r="20" spans="1:23" ht="11.25" customHeight="1" x14ac:dyDescent="0.25">
      <c r="A20" s="77"/>
      <c r="B20" s="77"/>
      <c r="C20" s="77"/>
      <c r="D20" s="12" t="s">
        <v>31</v>
      </c>
      <c r="E20" s="12" t="s">
        <v>25</v>
      </c>
      <c r="F20" s="12" t="s">
        <v>25</v>
      </c>
      <c r="G20" s="13" t="s">
        <v>78</v>
      </c>
      <c r="H20" s="13" t="s">
        <v>72</v>
      </c>
      <c r="I20" s="13">
        <f>SUMIF(Mercado_Receita!$S$2:$S$548,"44440B1ConvencionalResidencialResidencial baixa renda – faixa 03Não se aplicaNão se aplicaPonta",Mercado_Receita!$L$2:$L$548)+SUMIF(Mercado_Receita!$S$2:$S$548,"44440B1ConvencionalResidencialResidencial baixa renda – faixa 03Não se aplicaNão se aplicaFora ponta",Mercado_Receita!$L$2:$L$548)+SUMIF(Mercado_Receita!$S$2:$S$548,"44440B1ConvencionalResidencialResidencial baixa renda – faixa 03Não se aplicaNão se aplicaIntermediário",Mercado_Receita!$L$2:$L$548)+SUMIF(Mercado_Receita!$S$2:$S$548,"44440B1ConvencionalResidencialResidencial baixa renda – faixa 03Não se aplicaNão se aplicaNão se aplica",Mercado_Receita!$L$2:$L$548)</f>
        <v>37.183</v>
      </c>
      <c r="J20" s="13">
        <f>SUMIF(Mercado_Receita!$S$2:$S$548,"44470B1ConvencionalResidencialResidencial baixa renda – faixa 03Não se aplicaNão se aplicaPonta",Mercado_Receita!$L$2:$L$548)+SUMIF(Mercado_Receita!$S$2:$S$548,"44470B1ConvencionalResidencialResidencial baixa renda – faixa 03Não se aplicaNão se aplicaFora ponta",Mercado_Receita!$L$2:$L$548)+SUMIF(Mercado_Receita!$S$2:$S$548,"44470B1ConvencionalResidencialResidencial baixa renda – faixa 03Não se aplicaNão se aplicaIntermediário",Mercado_Receita!$L$2:$L$548)+SUMIF(Mercado_Receita!$S$2:$S$548,"44470B1ConvencionalResidencialResidencial baixa renda – faixa 03Não se aplicaNão se aplicaNão se aplica",Mercado_Receita!$L$2:$L$548)</f>
        <v>36.729999999999997</v>
      </c>
      <c r="K20" s="13">
        <f>SUMIF(Mercado_Receita!$S$2:$S$548,"44501B1ConvencionalResidencialResidencial baixa renda – faixa 03Não se aplicaNão se aplicaPonta",Mercado_Receita!$L$2:$L$548)+SUMIF(Mercado_Receita!$S$2:$S$548,"44501B1ConvencionalResidencialResidencial baixa renda – faixa 03Não se aplicaNão se aplicaFora ponta",Mercado_Receita!$L$2:$L$548)+SUMIF(Mercado_Receita!$S$2:$S$548,"44501B1ConvencionalResidencialResidencial baixa renda – faixa 03Não se aplicaNão se aplicaIntermediário",Mercado_Receita!$L$2:$L$548)+SUMIF(Mercado_Receita!$S$2:$S$548,"44501B1ConvencionalResidencialResidencial baixa renda – faixa 03Não se aplicaNão se aplicaNão se aplica",Mercado_Receita!$L$2:$L$548)</f>
        <v>38.276000000000003</v>
      </c>
      <c r="L20" s="13">
        <f>SUMIF(Mercado_Receita!$S$2:$S$548,"44531B1ConvencionalResidencialResidencial baixa renda – faixa 03Não se aplicaNão se aplicaPonta",Mercado_Receita!$L$2:$L$548)+SUMIF(Mercado_Receita!$S$2:$S$548,"44531B1ConvencionalResidencialResidencial baixa renda – faixa 03Não se aplicaNão se aplicaFora ponta",Mercado_Receita!$L$2:$L$548)+SUMIF(Mercado_Receita!$S$2:$S$548,"44531B1ConvencionalResidencialResidencial baixa renda – faixa 03Não se aplicaNão se aplicaIntermediário",Mercado_Receita!$L$2:$L$548)+SUMIF(Mercado_Receita!$S$2:$S$548,"44531B1ConvencionalResidencialResidencial baixa renda – faixa 03Não se aplicaNão se aplicaNão se aplica",Mercado_Receita!$L$2:$L$548)</f>
        <v>40.531000000000006</v>
      </c>
      <c r="M20" s="13">
        <f>SUMIF(Mercado_Receita!$S$2:$S$548,"44562B1ConvencionalResidencialResidencial baixa renda – faixa 03Não se aplicaNão se aplicaPonta",Mercado_Receita!$L$2:$L$548)+SUMIF(Mercado_Receita!$S$2:$S$548,"44562B1ConvencionalResidencialResidencial baixa renda – faixa 03Não se aplicaNão se aplicaFora ponta",Mercado_Receita!$L$2:$L$548)+SUMIF(Mercado_Receita!$S$2:$S$548,"44562B1ConvencionalResidencialResidencial baixa renda – faixa 03Não se aplicaNão se aplicaIntermediário",Mercado_Receita!$L$2:$L$548)+SUMIF(Mercado_Receita!$S$2:$S$548,"44562B1ConvencionalResidencialResidencial baixa renda – faixa 03Não se aplicaNão se aplicaNão se aplica",Mercado_Receita!$L$2:$L$548)</f>
        <v>46.091999999999999</v>
      </c>
      <c r="N20" s="13">
        <f>SUMIF(Mercado_Receita!$S$2:$S$548,"44593B1ConvencionalResidencialResidencial baixa renda – faixa 03Não se aplicaNão se aplicaPonta",Mercado_Receita!$L$2:$L$548)+SUMIF(Mercado_Receita!$S$2:$S$548,"44593B1ConvencionalResidencialResidencial baixa renda – faixa 03Não se aplicaNão se aplicaFora ponta",Mercado_Receita!$L$2:$L$548)+SUMIF(Mercado_Receita!$S$2:$S$548,"44593B1ConvencionalResidencialResidencial baixa renda – faixa 03Não se aplicaNão se aplicaIntermediário",Mercado_Receita!$L$2:$L$548)+SUMIF(Mercado_Receita!$S$2:$S$548,"44593B1ConvencionalResidencialResidencial baixa renda – faixa 03Não se aplicaNão se aplicaNão se aplica",Mercado_Receita!$L$2:$L$548)</f>
        <v>45.088000000000001</v>
      </c>
      <c r="O20" s="13">
        <f>SUMIF(Mercado_Receita!$S$2:$S$548,"44621B1ConvencionalResidencialResidencial baixa renda – faixa 03Não se aplicaNão se aplicaPonta",Mercado_Receita!$L$2:$L$548)+SUMIF(Mercado_Receita!$S$2:$S$548,"44621B1ConvencionalResidencialResidencial baixa renda – faixa 03Não se aplicaNão se aplicaFora ponta",Mercado_Receita!$L$2:$L$548)+SUMIF(Mercado_Receita!$S$2:$S$548,"44621B1ConvencionalResidencialResidencial baixa renda – faixa 03Não se aplicaNão se aplicaIntermediário",Mercado_Receita!$L$2:$L$548)+SUMIF(Mercado_Receita!$S$2:$S$548,"44621B1ConvencionalResidencialResidencial baixa renda – faixa 03Não se aplicaNão se aplicaNão se aplica",Mercado_Receita!$L$2:$L$548)</f>
        <v>44.936</v>
      </c>
      <c r="P20" s="13">
        <f>SUMIF(Mercado_Receita!$S$2:$S$548,"44652B1ConvencionalResidencialResidencial baixa renda – faixa 03Não se aplicaNão se aplicaPonta",Mercado_Receita!$L$2:$L$548)+SUMIF(Mercado_Receita!$S$2:$S$548,"44652B1ConvencionalResidencialResidencial baixa renda – faixa 03Não se aplicaNão se aplicaFora ponta",Mercado_Receita!$L$2:$L$548)+SUMIF(Mercado_Receita!$S$2:$S$548,"44652B1ConvencionalResidencialResidencial baixa renda – faixa 03Não se aplicaNão se aplicaIntermediário",Mercado_Receita!$L$2:$L$548)+SUMIF(Mercado_Receita!$S$2:$S$548,"44652B1ConvencionalResidencialResidencial baixa renda – faixa 03Não se aplicaNão se aplicaNão se aplica",Mercado_Receita!$L$2:$L$548)</f>
        <v>44.447000000000003</v>
      </c>
      <c r="Q20" s="13">
        <f>SUMIF(Mercado_Receita!$S$2:$S$548,"44682B1ConvencionalResidencialResidencial baixa renda – faixa 03Não se aplicaNão se aplicaPonta",Mercado_Receita!$L$2:$L$548)+SUMIF(Mercado_Receita!$S$2:$S$548,"44682B1ConvencionalResidencialResidencial baixa renda – faixa 03Não se aplicaNão se aplicaFora ponta",Mercado_Receita!$L$2:$L$548)+SUMIF(Mercado_Receita!$S$2:$S$548,"44682B1ConvencionalResidencialResidencial baixa renda – faixa 03Não se aplicaNão se aplicaIntermediário",Mercado_Receita!$L$2:$L$548)+SUMIF(Mercado_Receita!$S$2:$S$548,"44682B1ConvencionalResidencialResidencial baixa renda – faixa 03Não se aplicaNão se aplicaNão se aplica",Mercado_Receita!$L$2:$L$548)</f>
        <v>40.914999999999999</v>
      </c>
      <c r="R20" s="13">
        <f>SUMIF(Mercado_Receita!$S$2:$S$548,"44713B1ConvencionalResidencialResidencial baixa renda – faixa 03Não se aplicaNão se aplicaPonta",Mercado_Receita!$L$2:$L$548)+SUMIF(Mercado_Receita!$S$2:$S$548,"44713B1ConvencionalResidencialResidencial baixa renda – faixa 03Não se aplicaNão se aplicaFora ponta",Mercado_Receita!$L$2:$L$548)+SUMIF(Mercado_Receita!$S$2:$S$548,"44713B1ConvencionalResidencialResidencial baixa renda – faixa 03Não se aplicaNão se aplicaIntermediário",Mercado_Receita!$L$2:$L$548)+SUMIF(Mercado_Receita!$S$2:$S$548,"44713B1ConvencionalResidencialResidencial baixa renda – faixa 03Não se aplicaNão se aplicaNão se aplica",Mercado_Receita!$L$2:$L$548)</f>
        <v>37.824000000000005</v>
      </c>
      <c r="S20" s="13">
        <f>SUMIF(Mercado_Receita!$S$2:$S$548,"44743B1ConvencionalResidencialResidencial baixa renda – faixa 03Não se aplicaNão se aplicaPonta",Mercado_Receita!$L$2:$L$548)+SUMIF(Mercado_Receita!$S$2:$S$548,"44743B1ConvencionalResidencialResidencial baixa renda – faixa 03Não se aplicaNão se aplicaFora ponta",Mercado_Receita!$L$2:$L$548)+SUMIF(Mercado_Receita!$S$2:$S$548,"44743B1ConvencionalResidencialResidencial baixa renda – faixa 03Não se aplicaNão se aplicaIntermediário",Mercado_Receita!$L$2:$L$548)+SUMIF(Mercado_Receita!$S$2:$S$548,"44743B1ConvencionalResidencialResidencial baixa renda – faixa 03Não se aplicaNão se aplicaNão se aplica",Mercado_Receita!$L$2:$L$548)</f>
        <v>37.46</v>
      </c>
      <c r="T20" s="13">
        <f>SUMIF(Mercado_Receita!$S$2:$S$548,"44774B1ConvencionalResidencialResidencial baixa renda – faixa 03Não se aplicaNão se aplicaPonta",Mercado_Receita!$L$2:$L$548)+SUMIF(Mercado_Receita!$S$2:$S$548,"44774B1ConvencionalResidencialResidencial baixa renda – faixa 03Não se aplicaNão se aplicaFora ponta",Mercado_Receita!$L$2:$L$548)+SUMIF(Mercado_Receita!$S$2:$S$548,"44774B1ConvencionalResidencialResidencial baixa renda – faixa 03Não se aplicaNão se aplicaIntermediário",Mercado_Receita!$L$2:$L$548)+SUMIF(Mercado_Receita!$S$2:$S$548,"44774B1ConvencionalResidencialResidencial baixa renda – faixa 03Não se aplicaNão se aplicaNão se aplica",Mercado_Receita!$L$2:$L$548)</f>
        <v>37.46</v>
      </c>
      <c r="U20" s="13">
        <f t="shared" si="0"/>
        <v>486.94200000000001</v>
      </c>
      <c r="V20" s="13"/>
      <c r="W20" s="13"/>
    </row>
    <row r="21" spans="1:23" ht="11.25" customHeight="1" x14ac:dyDescent="0.25">
      <c r="A21" s="77"/>
      <c r="B21" s="77"/>
      <c r="C21" s="77"/>
      <c r="D21" s="12" t="s">
        <v>32</v>
      </c>
      <c r="E21" s="12" t="s">
        <v>25</v>
      </c>
      <c r="F21" s="12" t="s">
        <v>25</v>
      </c>
      <c r="G21" s="13" t="s">
        <v>78</v>
      </c>
      <c r="H21" s="13" t="s">
        <v>72</v>
      </c>
      <c r="I21" s="13">
        <f>SUMIF(Mercado_Receita!$S$2:$S$548,"44440B1ConvencionalResidencialResidencial baixa renda – faixa 04Não se aplicaNão se aplicaPonta",Mercado_Receita!$L$2:$L$548)+SUMIF(Mercado_Receita!$S$2:$S$548,"44440B1ConvencionalResidencialResidencial baixa renda – faixa 04Não se aplicaNão se aplicaFora ponta",Mercado_Receita!$L$2:$L$548)+SUMIF(Mercado_Receita!$S$2:$S$548,"44440B1ConvencionalResidencialResidencial baixa renda – faixa 04Não se aplicaNão se aplicaIntermediário",Mercado_Receita!$L$2:$L$548)+SUMIF(Mercado_Receita!$S$2:$S$548,"44440B1ConvencionalResidencialResidencial baixa renda – faixa 04Não se aplicaNão se aplicaNão se aplica",Mercado_Receita!$L$2:$L$548)</f>
        <v>14.227</v>
      </c>
      <c r="J21" s="13">
        <f>SUMIF(Mercado_Receita!$S$2:$S$548,"44470B1ConvencionalResidencialResidencial baixa renda – faixa 04Não se aplicaNão se aplicaPonta",Mercado_Receita!$L$2:$L$548)+SUMIF(Mercado_Receita!$S$2:$S$548,"44470B1ConvencionalResidencialResidencial baixa renda – faixa 04Não se aplicaNão se aplicaFora ponta",Mercado_Receita!$L$2:$L$548)+SUMIF(Mercado_Receita!$S$2:$S$548,"44470B1ConvencionalResidencialResidencial baixa renda – faixa 04Não se aplicaNão se aplicaIntermediário",Mercado_Receita!$L$2:$L$548)+SUMIF(Mercado_Receita!$S$2:$S$548,"44470B1ConvencionalResidencialResidencial baixa renda – faixa 04Não se aplicaNão se aplicaNão se aplica",Mercado_Receita!$L$2:$L$548)</f>
        <v>13.853</v>
      </c>
      <c r="K21" s="13">
        <f>SUMIF(Mercado_Receita!$S$2:$S$548,"44501B1ConvencionalResidencialResidencial baixa renda – faixa 04Não se aplicaNão se aplicaPonta",Mercado_Receita!$L$2:$L$548)+SUMIF(Mercado_Receita!$S$2:$S$548,"44501B1ConvencionalResidencialResidencial baixa renda – faixa 04Não se aplicaNão se aplicaFora ponta",Mercado_Receita!$L$2:$L$548)+SUMIF(Mercado_Receita!$S$2:$S$548,"44501B1ConvencionalResidencialResidencial baixa renda – faixa 04Não se aplicaNão se aplicaIntermediário",Mercado_Receita!$L$2:$L$548)+SUMIF(Mercado_Receita!$S$2:$S$548,"44501B1ConvencionalResidencialResidencial baixa renda – faixa 04Não se aplicaNão se aplicaNão se aplica",Mercado_Receita!$L$2:$L$548)</f>
        <v>13.950999999999999</v>
      </c>
      <c r="L21" s="13">
        <f>SUMIF(Mercado_Receita!$S$2:$S$548,"44531B1ConvencionalResidencialResidencial baixa renda – faixa 04Não se aplicaNão se aplicaPonta",Mercado_Receita!$L$2:$L$548)+SUMIF(Mercado_Receita!$S$2:$S$548,"44531B1ConvencionalResidencialResidencial baixa renda – faixa 04Não se aplicaNão se aplicaFora ponta",Mercado_Receita!$L$2:$L$548)+SUMIF(Mercado_Receita!$S$2:$S$548,"44531B1ConvencionalResidencialResidencial baixa renda – faixa 04Não se aplicaNão se aplicaIntermediário",Mercado_Receita!$L$2:$L$548)+SUMIF(Mercado_Receita!$S$2:$S$548,"44531B1ConvencionalResidencialResidencial baixa renda – faixa 04Não se aplicaNão se aplicaNão se aplica",Mercado_Receita!$L$2:$L$548)</f>
        <v>17.533999999999999</v>
      </c>
      <c r="M21" s="13">
        <f>SUMIF(Mercado_Receita!$S$2:$S$548,"44562B1ConvencionalResidencialResidencial baixa renda – faixa 04Não se aplicaNão se aplicaPonta",Mercado_Receita!$L$2:$L$548)+SUMIF(Mercado_Receita!$S$2:$S$548,"44562B1ConvencionalResidencialResidencial baixa renda – faixa 04Não se aplicaNão se aplicaFora ponta",Mercado_Receita!$L$2:$L$548)+SUMIF(Mercado_Receita!$S$2:$S$548,"44562B1ConvencionalResidencialResidencial baixa renda – faixa 04Não se aplicaNão se aplicaIntermediário",Mercado_Receita!$L$2:$L$548)+SUMIF(Mercado_Receita!$S$2:$S$548,"44562B1ConvencionalResidencialResidencial baixa renda – faixa 04Não se aplicaNão se aplicaNão se aplica",Mercado_Receita!$L$2:$L$548)</f>
        <v>30.530999999999999</v>
      </c>
      <c r="N21" s="13">
        <f>SUMIF(Mercado_Receita!$S$2:$S$548,"44593B1ConvencionalResidencialResidencial baixa renda – faixa 04Não se aplicaNão se aplicaPonta",Mercado_Receita!$L$2:$L$548)+SUMIF(Mercado_Receita!$S$2:$S$548,"44593B1ConvencionalResidencialResidencial baixa renda – faixa 04Não se aplicaNão se aplicaFora ponta",Mercado_Receita!$L$2:$L$548)+SUMIF(Mercado_Receita!$S$2:$S$548,"44593B1ConvencionalResidencialResidencial baixa renda – faixa 04Não se aplicaNão se aplicaIntermediário",Mercado_Receita!$L$2:$L$548)+SUMIF(Mercado_Receita!$S$2:$S$548,"44593B1ConvencionalResidencialResidencial baixa renda – faixa 04Não se aplicaNão se aplicaNão se aplica",Mercado_Receita!$L$2:$L$548)</f>
        <v>28.343</v>
      </c>
      <c r="O21" s="13">
        <f>SUMIF(Mercado_Receita!$S$2:$S$548,"44621B1ConvencionalResidencialResidencial baixa renda – faixa 04Não se aplicaNão se aplicaPonta",Mercado_Receita!$L$2:$L$548)+SUMIF(Mercado_Receita!$S$2:$S$548,"44621B1ConvencionalResidencialResidencial baixa renda – faixa 04Não se aplicaNão se aplicaFora ponta",Mercado_Receita!$L$2:$L$548)+SUMIF(Mercado_Receita!$S$2:$S$548,"44621B1ConvencionalResidencialResidencial baixa renda – faixa 04Não se aplicaNão se aplicaIntermediário",Mercado_Receita!$L$2:$L$548)+SUMIF(Mercado_Receita!$S$2:$S$548,"44621B1ConvencionalResidencialResidencial baixa renda – faixa 04Não se aplicaNão se aplicaNão se aplica",Mercado_Receita!$L$2:$L$548)</f>
        <v>24.643999999999998</v>
      </c>
      <c r="P21" s="13">
        <f>SUMIF(Mercado_Receita!$S$2:$S$548,"44652B1ConvencionalResidencialResidencial baixa renda – faixa 04Não se aplicaNão se aplicaPonta",Mercado_Receita!$L$2:$L$548)+SUMIF(Mercado_Receita!$S$2:$S$548,"44652B1ConvencionalResidencialResidencial baixa renda – faixa 04Não se aplicaNão se aplicaFora ponta",Mercado_Receita!$L$2:$L$548)+SUMIF(Mercado_Receita!$S$2:$S$548,"44652B1ConvencionalResidencialResidencial baixa renda – faixa 04Não se aplicaNão se aplicaIntermediário",Mercado_Receita!$L$2:$L$548)+SUMIF(Mercado_Receita!$S$2:$S$548,"44652B1ConvencionalResidencialResidencial baixa renda – faixa 04Não se aplicaNão se aplicaNão se aplica",Mercado_Receita!$L$2:$L$548)</f>
        <v>19.66</v>
      </c>
      <c r="Q21" s="13">
        <f>SUMIF(Mercado_Receita!$S$2:$S$548,"44682B1ConvencionalResidencialResidencial baixa renda – faixa 04Não se aplicaNão se aplicaPonta",Mercado_Receita!$L$2:$L$548)+SUMIF(Mercado_Receita!$S$2:$S$548,"44682B1ConvencionalResidencialResidencial baixa renda – faixa 04Não se aplicaNão se aplicaFora ponta",Mercado_Receita!$L$2:$L$548)+SUMIF(Mercado_Receita!$S$2:$S$548,"44682B1ConvencionalResidencialResidencial baixa renda – faixa 04Não se aplicaNão se aplicaIntermediário",Mercado_Receita!$L$2:$L$548)+SUMIF(Mercado_Receita!$S$2:$S$548,"44682B1ConvencionalResidencialResidencial baixa renda – faixa 04Não se aplicaNão se aplicaNão se aplica",Mercado_Receita!$L$2:$L$548)</f>
        <v>13.004</v>
      </c>
      <c r="R21" s="13">
        <f>SUMIF(Mercado_Receita!$S$2:$S$548,"44713B1ConvencionalResidencialResidencial baixa renda – faixa 04Não se aplicaNão se aplicaPonta",Mercado_Receita!$L$2:$L$548)+SUMIF(Mercado_Receita!$S$2:$S$548,"44713B1ConvencionalResidencialResidencial baixa renda – faixa 04Não se aplicaNão se aplicaFora ponta",Mercado_Receita!$L$2:$L$548)+SUMIF(Mercado_Receita!$S$2:$S$548,"44713B1ConvencionalResidencialResidencial baixa renda – faixa 04Não se aplicaNão se aplicaIntermediário",Mercado_Receita!$L$2:$L$548)+SUMIF(Mercado_Receita!$S$2:$S$548,"44713B1ConvencionalResidencialResidencial baixa renda – faixa 04Não se aplicaNão se aplicaNão se aplica",Mercado_Receita!$L$2:$L$548)</f>
        <v>18.832000000000001</v>
      </c>
      <c r="S21" s="13">
        <f>SUMIF(Mercado_Receita!$S$2:$S$548,"44743B1ConvencionalResidencialResidencial baixa renda – faixa 04Não se aplicaNão se aplicaPonta",Mercado_Receita!$L$2:$L$548)+SUMIF(Mercado_Receita!$S$2:$S$548,"44743B1ConvencionalResidencialResidencial baixa renda – faixa 04Não se aplicaNão se aplicaFora ponta",Mercado_Receita!$L$2:$L$548)+SUMIF(Mercado_Receita!$S$2:$S$548,"44743B1ConvencionalResidencialResidencial baixa renda – faixa 04Não se aplicaNão se aplicaIntermediário",Mercado_Receita!$L$2:$L$548)+SUMIF(Mercado_Receita!$S$2:$S$548,"44743B1ConvencionalResidencialResidencial baixa renda – faixa 04Não se aplicaNão se aplicaNão se aplica",Mercado_Receita!$L$2:$L$548)</f>
        <v>19.305</v>
      </c>
      <c r="T21" s="13">
        <f>SUMIF(Mercado_Receita!$S$2:$S$548,"44774B1ConvencionalResidencialResidencial baixa renda – faixa 04Não se aplicaNão se aplicaPonta",Mercado_Receita!$L$2:$L$548)+SUMIF(Mercado_Receita!$S$2:$S$548,"44774B1ConvencionalResidencialResidencial baixa renda – faixa 04Não se aplicaNão se aplicaFora ponta",Mercado_Receita!$L$2:$L$548)+SUMIF(Mercado_Receita!$S$2:$S$548,"44774B1ConvencionalResidencialResidencial baixa renda – faixa 04Não se aplicaNão se aplicaIntermediário",Mercado_Receita!$L$2:$L$548)+SUMIF(Mercado_Receita!$S$2:$S$548,"44774B1ConvencionalResidencialResidencial baixa renda – faixa 04Não se aplicaNão se aplicaNão se aplica",Mercado_Receita!$L$2:$L$548)</f>
        <v>19.305</v>
      </c>
      <c r="U21" s="13">
        <f t="shared" si="0"/>
        <v>233.18899999999999</v>
      </c>
      <c r="V21" s="13"/>
      <c r="W21" s="13"/>
    </row>
    <row r="22" spans="1:23" ht="11.25" customHeight="1" x14ac:dyDescent="0.25">
      <c r="A22" s="77"/>
      <c r="B22" s="76" t="s">
        <v>87</v>
      </c>
      <c r="C22" s="76" t="s">
        <v>24</v>
      </c>
      <c r="D22" s="12" t="s">
        <v>24</v>
      </c>
      <c r="E22" s="12" t="s">
        <v>25</v>
      </c>
      <c r="F22" s="12" t="s">
        <v>25</v>
      </c>
      <c r="G22" s="13" t="s">
        <v>78</v>
      </c>
      <c r="H22" s="13" t="s">
        <v>72</v>
      </c>
      <c r="I22" s="13">
        <f>SUMIF(Mercado_Receita!$S$2:$S$548,"44440B1Convencional pré-pagamentoResidencialResidencialNão se aplicaNão se aplicaPonta",Mercado_Receita!$L$2:$L$548)+SUMIF(Mercado_Receita!$S$2:$S$548,"44440B1Convencional pré-pagamentoResidencialResidencialNão se aplicaNão se aplicaFora ponta",Mercado_Receita!$L$2:$L$548)+SUMIF(Mercado_Receita!$S$2:$S$548,"44440B1Convencional pré-pagamentoResidencialResidencialNão se aplicaNão se aplicaIntermediário",Mercado_Receita!$L$2:$L$548)+SUMIF(Mercado_Receita!$S$2:$S$548,"44440B1Convencional pré-pagamentoResidencialResidencialNão se aplicaNão se aplicaNão se aplica",Mercado_Receita!$L$2:$L$548)</f>
        <v>0</v>
      </c>
      <c r="J22" s="13">
        <f>SUMIF(Mercado_Receita!$S$2:$S$548,"44470B1Convencional pré-pagamentoResidencialResidencialNão se aplicaNão se aplicaPonta",Mercado_Receita!$L$2:$L$548)+SUMIF(Mercado_Receita!$S$2:$S$548,"44470B1Convencional pré-pagamentoResidencialResidencialNão se aplicaNão se aplicaFora ponta",Mercado_Receita!$L$2:$L$548)+SUMIF(Mercado_Receita!$S$2:$S$548,"44470B1Convencional pré-pagamentoResidencialResidencialNão se aplicaNão se aplicaIntermediário",Mercado_Receita!$L$2:$L$548)+SUMIF(Mercado_Receita!$S$2:$S$548,"44470B1Convencional pré-pagamentoResidencialResidencialNão se aplicaNão se aplicaNão se aplica",Mercado_Receita!$L$2:$L$548)</f>
        <v>0</v>
      </c>
      <c r="K22" s="13">
        <f>SUMIF(Mercado_Receita!$S$2:$S$548,"44501B1Convencional pré-pagamentoResidencialResidencialNão se aplicaNão se aplicaPonta",Mercado_Receita!$L$2:$L$548)+SUMIF(Mercado_Receita!$S$2:$S$548,"44501B1Convencional pré-pagamentoResidencialResidencialNão se aplicaNão se aplicaFora ponta",Mercado_Receita!$L$2:$L$548)+SUMIF(Mercado_Receita!$S$2:$S$548,"44501B1Convencional pré-pagamentoResidencialResidencialNão se aplicaNão se aplicaIntermediário",Mercado_Receita!$L$2:$L$548)+SUMIF(Mercado_Receita!$S$2:$S$548,"44501B1Convencional pré-pagamentoResidencialResidencialNão se aplicaNão se aplicaNão se aplica",Mercado_Receita!$L$2:$L$548)</f>
        <v>0</v>
      </c>
      <c r="L22" s="13">
        <f>SUMIF(Mercado_Receita!$S$2:$S$548,"44531B1Convencional pré-pagamentoResidencialResidencialNão se aplicaNão se aplicaPonta",Mercado_Receita!$L$2:$L$548)+SUMIF(Mercado_Receita!$S$2:$S$548,"44531B1Convencional pré-pagamentoResidencialResidencialNão se aplicaNão se aplicaFora ponta",Mercado_Receita!$L$2:$L$548)+SUMIF(Mercado_Receita!$S$2:$S$548,"44531B1Convencional pré-pagamentoResidencialResidencialNão se aplicaNão se aplicaIntermediário",Mercado_Receita!$L$2:$L$548)+SUMIF(Mercado_Receita!$S$2:$S$548,"44531B1Convencional pré-pagamentoResidencialResidencialNão se aplicaNão se aplicaNão se aplica",Mercado_Receita!$L$2:$L$548)</f>
        <v>0</v>
      </c>
      <c r="M22" s="13">
        <f>SUMIF(Mercado_Receita!$S$2:$S$548,"44562B1Convencional pré-pagamentoResidencialResidencialNão se aplicaNão se aplicaPonta",Mercado_Receita!$L$2:$L$548)+SUMIF(Mercado_Receita!$S$2:$S$548,"44562B1Convencional pré-pagamentoResidencialResidencialNão se aplicaNão se aplicaFora ponta",Mercado_Receita!$L$2:$L$548)+SUMIF(Mercado_Receita!$S$2:$S$548,"44562B1Convencional pré-pagamentoResidencialResidencialNão se aplicaNão se aplicaIntermediário",Mercado_Receita!$L$2:$L$548)+SUMIF(Mercado_Receita!$S$2:$S$548,"44562B1Convencional pré-pagamentoResidencialResidencialNão se aplicaNão se aplicaNão se aplica",Mercado_Receita!$L$2:$L$548)</f>
        <v>0</v>
      </c>
      <c r="N22" s="13">
        <f>SUMIF(Mercado_Receita!$S$2:$S$548,"44593B1Convencional pré-pagamentoResidencialResidencialNão se aplicaNão se aplicaPonta",Mercado_Receita!$L$2:$L$548)+SUMIF(Mercado_Receita!$S$2:$S$548,"44593B1Convencional pré-pagamentoResidencialResidencialNão se aplicaNão se aplicaFora ponta",Mercado_Receita!$L$2:$L$548)+SUMIF(Mercado_Receita!$S$2:$S$548,"44593B1Convencional pré-pagamentoResidencialResidencialNão se aplicaNão se aplicaIntermediário",Mercado_Receita!$L$2:$L$548)+SUMIF(Mercado_Receita!$S$2:$S$548,"44593B1Convencional pré-pagamentoResidencialResidencialNão se aplicaNão se aplicaNão se aplica",Mercado_Receita!$L$2:$L$548)</f>
        <v>0</v>
      </c>
      <c r="O22" s="13">
        <f>SUMIF(Mercado_Receita!$S$2:$S$548,"44621B1Convencional pré-pagamentoResidencialResidencialNão se aplicaNão se aplicaPonta",Mercado_Receita!$L$2:$L$548)+SUMIF(Mercado_Receita!$S$2:$S$548,"44621B1Convencional pré-pagamentoResidencialResidencialNão se aplicaNão se aplicaFora ponta",Mercado_Receita!$L$2:$L$548)+SUMIF(Mercado_Receita!$S$2:$S$548,"44621B1Convencional pré-pagamentoResidencialResidencialNão se aplicaNão se aplicaIntermediário",Mercado_Receita!$L$2:$L$548)+SUMIF(Mercado_Receita!$S$2:$S$548,"44621B1Convencional pré-pagamentoResidencialResidencialNão se aplicaNão se aplicaNão se aplica",Mercado_Receita!$L$2:$L$548)</f>
        <v>0</v>
      </c>
      <c r="P22" s="13">
        <f>SUMIF(Mercado_Receita!$S$2:$S$548,"44652B1Convencional pré-pagamentoResidencialResidencialNão se aplicaNão se aplicaPonta",Mercado_Receita!$L$2:$L$548)+SUMIF(Mercado_Receita!$S$2:$S$548,"44652B1Convencional pré-pagamentoResidencialResidencialNão se aplicaNão se aplicaFora ponta",Mercado_Receita!$L$2:$L$548)+SUMIF(Mercado_Receita!$S$2:$S$548,"44652B1Convencional pré-pagamentoResidencialResidencialNão se aplicaNão se aplicaIntermediário",Mercado_Receita!$L$2:$L$548)+SUMIF(Mercado_Receita!$S$2:$S$548,"44652B1Convencional pré-pagamentoResidencialResidencialNão se aplicaNão se aplicaNão se aplica",Mercado_Receita!$L$2:$L$548)</f>
        <v>0</v>
      </c>
      <c r="Q22" s="13">
        <f>SUMIF(Mercado_Receita!$S$2:$S$548,"44682B1Convencional pré-pagamentoResidencialResidencialNão se aplicaNão se aplicaPonta",Mercado_Receita!$L$2:$L$548)+SUMIF(Mercado_Receita!$S$2:$S$548,"44682B1Convencional pré-pagamentoResidencialResidencialNão se aplicaNão se aplicaFora ponta",Mercado_Receita!$L$2:$L$548)+SUMIF(Mercado_Receita!$S$2:$S$548,"44682B1Convencional pré-pagamentoResidencialResidencialNão se aplicaNão se aplicaIntermediário",Mercado_Receita!$L$2:$L$548)+SUMIF(Mercado_Receita!$S$2:$S$548,"44682B1Convencional pré-pagamentoResidencialResidencialNão se aplicaNão se aplicaNão se aplica",Mercado_Receita!$L$2:$L$548)</f>
        <v>0</v>
      </c>
      <c r="R22" s="13">
        <f>SUMIF(Mercado_Receita!$S$2:$S$548,"44713B1Convencional pré-pagamentoResidencialResidencialNão se aplicaNão se aplicaPonta",Mercado_Receita!$L$2:$L$548)+SUMIF(Mercado_Receita!$S$2:$S$548,"44713B1Convencional pré-pagamentoResidencialResidencialNão se aplicaNão se aplicaFora ponta",Mercado_Receita!$L$2:$L$548)+SUMIF(Mercado_Receita!$S$2:$S$548,"44713B1Convencional pré-pagamentoResidencialResidencialNão se aplicaNão se aplicaIntermediário",Mercado_Receita!$L$2:$L$548)+SUMIF(Mercado_Receita!$S$2:$S$548,"44713B1Convencional pré-pagamentoResidencialResidencialNão se aplicaNão se aplicaNão se aplica",Mercado_Receita!$L$2:$L$548)</f>
        <v>0</v>
      </c>
      <c r="S22" s="13">
        <f>SUMIF(Mercado_Receita!$S$2:$S$548,"44743B1Convencional pré-pagamentoResidencialResidencialNão se aplicaNão se aplicaPonta",Mercado_Receita!$L$2:$L$548)+SUMIF(Mercado_Receita!$S$2:$S$548,"44743B1Convencional pré-pagamentoResidencialResidencialNão se aplicaNão se aplicaFora ponta",Mercado_Receita!$L$2:$L$548)+SUMIF(Mercado_Receita!$S$2:$S$548,"44743B1Convencional pré-pagamentoResidencialResidencialNão se aplicaNão se aplicaIntermediário",Mercado_Receita!$L$2:$L$548)+SUMIF(Mercado_Receita!$S$2:$S$548,"44743B1Convencional pré-pagamentoResidencialResidencialNão se aplicaNão se aplicaNão se aplica",Mercado_Receita!$L$2:$L$548)</f>
        <v>0</v>
      </c>
      <c r="T22" s="13">
        <f>SUMIF(Mercado_Receita!$S$2:$S$548,"44774B1Convencional pré-pagamentoResidencialResidencialNão se aplicaNão se aplicaPonta",Mercado_Receita!$L$2:$L$548)+SUMIF(Mercado_Receita!$S$2:$S$548,"44774B1Convencional pré-pagamentoResidencialResidencialNão se aplicaNão se aplicaFora ponta",Mercado_Receita!$L$2:$L$548)+SUMIF(Mercado_Receita!$S$2:$S$548,"44774B1Convencional pré-pagamentoResidencialResidencialNão se aplicaNão se aplicaIntermediário",Mercado_Receita!$L$2:$L$548)+SUMIF(Mercado_Receita!$S$2:$S$548,"44774B1Convencional pré-pagamentoResidencialResidencialNão se aplicaNão se aplicaNão se aplica",Mercado_Receita!$L$2:$L$548)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12" t="s">
        <v>29</v>
      </c>
      <c r="E23" s="12" t="s">
        <v>25</v>
      </c>
      <c r="F23" s="12" t="s">
        <v>25</v>
      </c>
      <c r="G23" s="13" t="s">
        <v>78</v>
      </c>
      <c r="H23" s="13" t="s">
        <v>72</v>
      </c>
      <c r="I23" s="13">
        <f>SUMIF(Mercado_Receita!$S$2:$S$548,"44440B1Convencional pré-pagamentoResidencialResidencial baixa renda – faixa 01Não se aplicaNão se aplicaPonta",Mercado_Receita!$L$2:$L$548)+SUMIF(Mercado_Receita!$S$2:$S$548,"44440B1Convencional pré-pagamentoResidencialResidencial baixa renda – faixa 01Não se aplicaNão se aplicaFora ponta",Mercado_Receita!$L$2:$L$548)+SUMIF(Mercado_Receita!$S$2:$S$548,"44440B1Convencional pré-pagamentoResidencialResidencial baixa renda – faixa 01Não se aplicaNão se aplicaIntermediário",Mercado_Receita!$L$2:$L$548)+SUMIF(Mercado_Receita!$S$2:$S$548,"44440B1Convencional pré-pagamentoResidencialResidencial baixa renda – faixa 01Não se aplicaNão se aplicaNão se aplica",Mercado_Receita!$L$2:$L$548)</f>
        <v>0</v>
      </c>
      <c r="J23" s="13">
        <f>SUMIF(Mercado_Receita!$S$2:$S$548,"44470B1Convencional pré-pagamentoResidencialResidencial baixa renda – faixa 01Não se aplicaNão se aplicaPonta",Mercado_Receita!$L$2:$L$548)+SUMIF(Mercado_Receita!$S$2:$S$548,"44470B1Convencional pré-pagamentoResidencialResidencial baixa renda – faixa 01Não se aplicaNão se aplicaFora ponta",Mercado_Receita!$L$2:$L$548)+SUMIF(Mercado_Receita!$S$2:$S$548,"44470B1Convencional pré-pagamentoResidencialResidencial baixa renda – faixa 01Não se aplicaNão se aplicaIntermediário",Mercado_Receita!$L$2:$L$548)+SUMIF(Mercado_Receita!$S$2:$S$548,"44470B1Convencional pré-pagamentoResidencialResidencial baixa renda – faixa 01Não se aplicaNão se aplicaNão se aplica",Mercado_Receita!$L$2:$L$548)</f>
        <v>0</v>
      </c>
      <c r="K23" s="13">
        <f>SUMIF(Mercado_Receita!$S$2:$S$548,"44501B1Convencional pré-pagamentoResidencialResidencial baixa renda – faixa 01Não se aplicaNão se aplicaPonta",Mercado_Receita!$L$2:$L$548)+SUMIF(Mercado_Receita!$S$2:$S$548,"44501B1Convencional pré-pagamentoResidencialResidencial baixa renda – faixa 01Não se aplicaNão se aplicaFora ponta",Mercado_Receita!$L$2:$L$548)+SUMIF(Mercado_Receita!$S$2:$S$548,"44501B1Convencional pré-pagamentoResidencialResidencial baixa renda – faixa 01Não se aplicaNão se aplicaIntermediário",Mercado_Receita!$L$2:$L$548)+SUMIF(Mercado_Receita!$S$2:$S$548,"44501B1Convencional pré-pagamentoResidencialResidencial baixa renda – faixa 01Não se aplicaNão se aplicaNão se aplica",Mercado_Receita!$L$2:$L$548)</f>
        <v>0</v>
      </c>
      <c r="L23" s="13">
        <f>SUMIF(Mercado_Receita!$S$2:$S$548,"44531B1Convencional pré-pagamentoResidencialResidencial baixa renda – faixa 01Não se aplicaNão se aplicaPonta",Mercado_Receita!$L$2:$L$548)+SUMIF(Mercado_Receita!$S$2:$S$548,"44531B1Convencional pré-pagamentoResidencialResidencial baixa renda – faixa 01Não se aplicaNão se aplicaFora ponta",Mercado_Receita!$L$2:$L$548)+SUMIF(Mercado_Receita!$S$2:$S$548,"44531B1Convencional pré-pagamentoResidencialResidencial baixa renda – faixa 01Não se aplicaNão se aplicaIntermediário",Mercado_Receita!$L$2:$L$548)+SUMIF(Mercado_Receita!$S$2:$S$548,"44531B1Convencional pré-pagamentoResidencialResidencial baixa renda – faixa 01Não se aplicaNão se aplicaNão se aplica",Mercado_Receita!$L$2:$L$548)</f>
        <v>0</v>
      </c>
      <c r="M23" s="13">
        <f>SUMIF(Mercado_Receita!$S$2:$S$548,"44562B1Convencional pré-pagamentoResidencialResidencial baixa renda – faixa 01Não se aplicaNão se aplicaPonta",Mercado_Receita!$L$2:$L$548)+SUMIF(Mercado_Receita!$S$2:$S$548,"44562B1Convencional pré-pagamentoResidencialResidencial baixa renda – faixa 01Não se aplicaNão se aplicaFora ponta",Mercado_Receita!$L$2:$L$548)+SUMIF(Mercado_Receita!$S$2:$S$548,"44562B1Convencional pré-pagamentoResidencialResidencial baixa renda – faixa 01Não se aplicaNão se aplicaIntermediário",Mercado_Receita!$L$2:$L$548)+SUMIF(Mercado_Receita!$S$2:$S$548,"44562B1Convencional pré-pagamentoResidencialResidencial baixa renda – faixa 01Não se aplicaNão se aplicaNão se aplica",Mercado_Receita!$L$2:$L$548)</f>
        <v>0</v>
      </c>
      <c r="N23" s="13">
        <f>SUMIF(Mercado_Receita!$S$2:$S$548,"44593B1Convencional pré-pagamentoResidencialResidencial baixa renda – faixa 01Não se aplicaNão se aplicaPonta",Mercado_Receita!$L$2:$L$548)+SUMIF(Mercado_Receita!$S$2:$S$548,"44593B1Convencional pré-pagamentoResidencialResidencial baixa renda – faixa 01Não se aplicaNão se aplicaFora ponta",Mercado_Receita!$L$2:$L$548)+SUMIF(Mercado_Receita!$S$2:$S$548,"44593B1Convencional pré-pagamentoResidencialResidencial baixa renda – faixa 01Não se aplicaNão se aplicaIntermediário",Mercado_Receita!$L$2:$L$548)+SUMIF(Mercado_Receita!$S$2:$S$548,"44593B1Convencional pré-pagamentoResidencialResidencial baixa renda – faixa 01Não se aplicaNão se aplicaNão se aplica",Mercado_Receita!$L$2:$L$548)</f>
        <v>0</v>
      </c>
      <c r="O23" s="13">
        <f>SUMIF(Mercado_Receita!$S$2:$S$548,"44621B1Convencional pré-pagamentoResidencialResidencial baixa renda – faixa 01Não se aplicaNão se aplicaPonta",Mercado_Receita!$L$2:$L$548)+SUMIF(Mercado_Receita!$S$2:$S$548,"44621B1Convencional pré-pagamentoResidencialResidencial baixa renda – faixa 01Não se aplicaNão se aplicaFora ponta",Mercado_Receita!$L$2:$L$548)+SUMIF(Mercado_Receita!$S$2:$S$548,"44621B1Convencional pré-pagamentoResidencialResidencial baixa renda – faixa 01Não se aplicaNão se aplicaIntermediário",Mercado_Receita!$L$2:$L$548)+SUMIF(Mercado_Receita!$S$2:$S$548,"44621B1Convencional pré-pagamentoResidencialResidencial baixa renda – faixa 01Não se aplicaNão se aplicaNão se aplica",Mercado_Receita!$L$2:$L$548)</f>
        <v>0</v>
      </c>
      <c r="P23" s="13">
        <f>SUMIF(Mercado_Receita!$S$2:$S$548,"44652B1Convencional pré-pagamentoResidencialResidencial baixa renda – faixa 01Não se aplicaNão se aplicaPonta",Mercado_Receita!$L$2:$L$548)+SUMIF(Mercado_Receita!$S$2:$S$548,"44652B1Convencional pré-pagamentoResidencialResidencial baixa renda – faixa 01Não se aplicaNão se aplicaFora ponta",Mercado_Receita!$L$2:$L$548)+SUMIF(Mercado_Receita!$S$2:$S$548,"44652B1Convencional pré-pagamentoResidencialResidencial baixa renda – faixa 01Não se aplicaNão se aplicaIntermediário",Mercado_Receita!$L$2:$L$548)+SUMIF(Mercado_Receita!$S$2:$S$548,"44652B1Convencional pré-pagamentoResidencialResidencial baixa renda – faixa 01Não se aplicaNão se aplicaNão se aplica",Mercado_Receita!$L$2:$L$548)</f>
        <v>0</v>
      </c>
      <c r="Q23" s="13">
        <f>SUMIF(Mercado_Receita!$S$2:$S$548,"44682B1Convencional pré-pagamentoResidencialResidencial baixa renda – faixa 01Não se aplicaNão se aplicaPonta",Mercado_Receita!$L$2:$L$548)+SUMIF(Mercado_Receita!$S$2:$S$548,"44682B1Convencional pré-pagamentoResidencialResidencial baixa renda – faixa 01Não se aplicaNão se aplicaFora ponta",Mercado_Receita!$L$2:$L$548)+SUMIF(Mercado_Receita!$S$2:$S$548,"44682B1Convencional pré-pagamentoResidencialResidencial baixa renda – faixa 01Não se aplicaNão se aplicaIntermediário",Mercado_Receita!$L$2:$L$548)+SUMIF(Mercado_Receita!$S$2:$S$548,"44682B1Convencional pré-pagamentoResidencialResidencial baixa renda – faixa 01Não se aplicaNão se aplicaNão se aplica",Mercado_Receita!$L$2:$L$548)</f>
        <v>0</v>
      </c>
      <c r="R23" s="13">
        <f>SUMIF(Mercado_Receita!$S$2:$S$548,"44713B1Convencional pré-pagamentoResidencialResidencial baixa renda – faixa 01Não se aplicaNão se aplicaPonta",Mercado_Receita!$L$2:$L$548)+SUMIF(Mercado_Receita!$S$2:$S$548,"44713B1Convencional pré-pagamentoResidencialResidencial baixa renda – faixa 01Não se aplicaNão se aplicaFora ponta",Mercado_Receita!$L$2:$L$548)+SUMIF(Mercado_Receita!$S$2:$S$548,"44713B1Convencional pré-pagamentoResidencialResidencial baixa renda – faixa 01Não se aplicaNão se aplicaIntermediário",Mercado_Receita!$L$2:$L$548)+SUMIF(Mercado_Receita!$S$2:$S$548,"44713B1Convencional pré-pagamentoResidencialResidencial baixa renda – faixa 01Não se aplicaNão se aplicaNão se aplica",Mercado_Receita!$L$2:$L$548)</f>
        <v>0</v>
      </c>
      <c r="S23" s="13">
        <f>SUMIF(Mercado_Receita!$S$2:$S$548,"44743B1Convencional pré-pagamentoResidencialResidencial baixa renda – faixa 01Não se aplicaNão se aplicaPonta",Mercado_Receita!$L$2:$L$548)+SUMIF(Mercado_Receita!$S$2:$S$548,"44743B1Convencional pré-pagamentoResidencialResidencial baixa renda – faixa 01Não se aplicaNão se aplicaFora ponta",Mercado_Receita!$L$2:$L$548)+SUMIF(Mercado_Receita!$S$2:$S$548,"44743B1Convencional pré-pagamentoResidencialResidencial baixa renda – faixa 01Não se aplicaNão se aplicaIntermediário",Mercado_Receita!$L$2:$L$548)+SUMIF(Mercado_Receita!$S$2:$S$548,"44743B1Convencional pré-pagamentoResidencialResidencial baixa renda – faixa 01Não se aplicaNão se aplicaNão se aplica",Mercado_Receita!$L$2:$L$548)</f>
        <v>0</v>
      </c>
      <c r="T23" s="13">
        <f>SUMIF(Mercado_Receita!$S$2:$S$548,"44774B1Convencional pré-pagamentoResidencialResidencial baixa renda – faixa 01Não se aplicaNão se aplicaPonta",Mercado_Receita!$L$2:$L$548)+SUMIF(Mercado_Receita!$S$2:$S$548,"44774B1Convencional pré-pagamentoResidencialResidencial baixa renda – faixa 01Não se aplicaNão se aplicaFora ponta",Mercado_Receita!$L$2:$L$548)+SUMIF(Mercado_Receita!$S$2:$S$548,"44774B1Convencional pré-pagamentoResidencialResidencial baixa renda – faixa 01Não se aplicaNão se aplicaIntermediário",Mercado_Receita!$L$2:$L$548)+SUMIF(Mercado_Receita!$S$2:$S$548,"44774B1Convencional pré-pagamentoResidencialResidencial baixa renda – faixa 01Não se aplicaNão se aplicaNão se aplica",Mercado_Receita!$L$2:$L$548)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77"/>
      <c r="C24" s="77"/>
      <c r="D24" s="12" t="s">
        <v>30</v>
      </c>
      <c r="E24" s="12" t="s">
        <v>25</v>
      </c>
      <c r="F24" s="12" t="s">
        <v>25</v>
      </c>
      <c r="G24" s="13" t="s">
        <v>78</v>
      </c>
      <c r="H24" s="13" t="s">
        <v>72</v>
      </c>
      <c r="I24" s="13">
        <f>SUMIF(Mercado_Receita!$S$2:$S$548,"44440B1Convencional pré-pagamentoResidencialResidencial baixa renda – faixa 02Não se aplicaNão se aplicaPonta",Mercado_Receita!$L$2:$L$548)+SUMIF(Mercado_Receita!$S$2:$S$548,"44440B1Convencional pré-pagamentoResidencialResidencial baixa renda – faixa 02Não se aplicaNão se aplicaFora ponta",Mercado_Receita!$L$2:$L$548)+SUMIF(Mercado_Receita!$S$2:$S$548,"44440B1Convencional pré-pagamentoResidencialResidencial baixa renda – faixa 02Não se aplicaNão se aplicaIntermediário",Mercado_Receita!$L$2:$L$548)+SUMIF(Mercado_Receita!$S$2:$S$548,"44440B1Convencional pré-pagamentoResidencialResidencial baixa renda – faixa 02Não se aplicaNão se aplicaNão se aplica",Mercado_Receita!$L$2:$L$548)</f>
        <v>0</v>
      </c>
      <c r="J24" s="13">
        <f>SUMIF(Mercado_Receita!$S$2:$S$548,"44470B1Convencional pré-pagamentoResidencialResidencial baixa renda – faixa 02Não se aplicaNão se aplicaPonta",Mercado_Receita!$L$2:$L$548)+SUMIF(Mercado_Receita!$S$2:$S$548,"44470B1Convencional pré-pagamentoResidencialResidencial baixa renda – faixa 02Não se aplicaNão se aplicaFora ponta",Mercado_Receita!$L$2:$L$548)+SUMIF(Mercado_Receita!$S$2:$S$548,"44470B1Convencional pré-pagamentoResidencialResidencial baixa renda – faixa 02Não se aplicaNão se aplicaIntermediário",Mercado_Receita!$L$2:$L$548)+SUMIF(Mercado_Receita!$S$2:$S$548,"44470B1Convencional pré-pagamentoResidencialResidencial baixa renda – faixa 02Não se aplicaNão se aplicaNão se aplica",Mercado_Receita!$L$2:$L$548)</f>
        <v>0</v>
      </c>
      <c r="K24" s="13">
        <f>SUMIF(Mercado_Receita!$S$2:$S$548,"44501B1Convencional pré-pagamentoResidencialResidencial baixa renda – faixa 02Não se aplicaNão se aplicaPonta",Mercado_Receita!$L$2:$L$548)+SUMIF(Mercado_Receita!$S$2:$S$548,"44501B1Convencional pré-pagamentoResidencialResidencial baixa renda – faixa 02Não se aplicaNão se aplicaFora ponta",Mercado_Receita!$L$2:$L$548)+SUMIF(Mercado_Receita!$S$2:$S$548,"44501B1Convencional pré-pagamentoResidencialResidencial baixa renda – faixa 02Não se aplicaNão se aplicaIntermediário",Mercado_Receita!$L$2:$L$548)+SUMIF(Mercado_Receita!$S$2:$S$548,"44501B1Convencional pré-pagamentoResidencialResidencial baixa renda – faixa 02Não se aplicaNão se aplicaNão se aplica",Mercado_Receita!$L$2:$L$548)</f>
        <v>0</v>
      </c>
      <c r="L24" s="13">
        <f>SUMIF(Mercado_Receita!$S$2:$S$548,"44531B1Convencional pré-pagamentoResidencialResidencial baixa renda – faixa 02Não se aplicaNão se aplicaPonta",Mercado_Receita!$L$2:$L$548)+SUMIF(Mercado_Receita!$S$2:$S$548,"44531B1Convencional pré-pagamentoResidencialResidencial baixa renda – faixa 02Não se aplicaNão se aplicaFora ponta",Mercado_Receita!$L$2:$L$548)+SUMIF(Mercado_Receita!$S$2:$S$548,"44531B1Convencional pré-pagamentoResidencialResidencial baixa renda – faixa 02Não se aplicaNão se aplicaIntermediário",Mercado_Receita!$L$2:$L$548)+SUMIF(Mercado_Receita!$S$2:$S$548,"44531B1Convencional pré-pagamentoResidencialResidencial baixa renda – faixa 02Não se aplicaNão se aplicaNão se aplica",Mercado_Receita!$L$2:$L$548)</f>
        <v>0</v>
      </c>
      <c r="M24" s="13">
        <f>SUMIF(Mercado_Receita!$S$2:$S$548,"44562B1Convencional pré-pagamentoResidencialResidencial baixa renda – faixa 02Não se aplicaNão se aplicaPonta",Mercado_Receita!$L$2:$L$548)+SUMIF(Mercado_Receita!$S$2:$S$548,"44562B1Convencional pré-pagamentoResidencialResidencial baixa renda – faixa 02Não se aplicaNão se aplicaFora ponta",Mercado_Receita!$L$2:$L$548)+SUMIF(Mercado_Receita!$S$2:$S$548,"44562B1Convencional pré-pagamentoResidencialResidencial baixa renda – faixa 02Não se aplicaNão se aplicaIntermediário",Mercado_Receita!$L$2:$L$548)+SUMIF(Mercado_Receita!$S$2:$S$548,"44562B1Convencional pré-pagamentoResidencialResidencial baixa renda – faixa 02Não se aplicaNão se aplicaNão se aplica",Mercado_Receita!$L$2:$L$548)</f>
        <v>0</v>
      </c>
      <c r="N24" s="13">
        <f>SUMIF(Mercado_Receita!$S$2:$S$548,"44593B1Convencional pré-pagamentoResidencialResidencial baixa renda – faixa 02Não se aplicaNão se aplicaPonta",Mercado_Receita!$L$2:$L$548)+SUMIF(Mercado_Receita!$S$2:$S$548,"44593B1Convencional pré-pagamentoResidencialResidencial baixa renda – faixa 02Não se aplicaNão se aplicaFora ponta",Mercado_Receita!$L$2:$L$548)+SUMIF(Mercado_Receita!$S$2:$S$548,"44593B1Convencional pré-pagamentoResidencialResidencial baixa renda – faixa 02Não se aplicaNão se aplicaIntermediário",Mercado_Receita!$L$2:$L$548)+SUMIF(Mercado_Receita!$S$2:$S$548,"44593B1Convencional pré-pagamentoResidencialResidencial baixa renda – faixa 02Não se aplicaNão se aplicaNão se aplica",Mercado_Receita!$L$2:$L$548)</f>
        <v>0</v>
      </c>
      <c r="O24" s="13">
        <f>SUMIF(Mercado_Receita!$S$2:$S$548,"44621B1Convencional pré-pagamentoResidencialResidencial baixa renda – faixa 02Não se aplicaNão se aplicaPonta",Mercado_Receita!$L$2:$L$548)+SUMIF(Mercado_Receita!$S$2:$S$548,"44621B1Convencional pré-pagamentoResidencialResidencial baixa renda – faixa 02Não se aplicaNão se aplicaFora ponta",Mercado_Receita!$L$2:$L$548)+SUMIF(Mercado_Receita!$S$2:$S$548,"44621B1Convencional pré-pagamentoResidencialResidencial baixa renda – faixa 02Não se aplicaNão se aplicaIntermediário",Mercado_Receita!$L$2:$L$548)+SUMIF(Mercado_Receita!$S$2:$S$548,"44621B1Convencional pré-pagamentoResidencialResidencial baixa renda – faixa 02Não se aplicaNão se aplicaNão se aplica",Mercado_Receita!$L$2:$L$548)</f>
        <v>0</v>
      </c>
      <c r="P24" s="13">
        <f>SUMIF(Mercado_Receita!$S$2:$S$548,"44652B1Convencional pré-pagamentoResidencialResidencial baixa renda – faixa 02Não se aplicaNão se aplicaPonta",Mercado_Receita!$L$2:$L$548)+SUMIF(Mercado_Receita!$S$2:$S$548,"44652B1Convencional pré-pagamentoResidencialResidencial baixa renda – faixa 02Não se aplicaNão se aplicaFora ponta",Mercado_Receita!$L$2:$L$548)+SUMIF(Mercado_Receita!$S$2:$S$548,"44652B1Convencional pré-pagamentoResidencialResidencial baixa renda – faixa 02Não se aplicaNão se aplicaIntermediário",Mercado_Receita!$L$2:$L$548)+SUMIF(Mercado_Receita!$S$2:$S$548,"44652B1Convencional pré-pagamentoResidencialResidencial baixa renda – faixa 02Não se aplicaNão se aplicaNão se aplica",Mercado_Receita!$L$2:$L$548)</f>
        <v>0</v>
      </c>
      <c r="Q24" s="13">
        <f>SUMIF(Mercado_Receita!$S$2:$S$548,"44682B1Convencional pré-pagamentoResidencialResidencial baixa renda – faixa 02Não se aplicaNão se aplicaPonta",Mercado_Receita!$L$2:$L$548)+SUMIF(Mercado_Receita!$S$2:$S$548,"44682B1Convencional pré-pagamentoResidencialResidencial baixa renda – faixa 02Não se aplicaNão se aplicaFora ponta",Mercado_Receita!$L$2:$L$548)+SUMIF(Mercado_Receita!$S$2:$S$548,"44682B1Convencional pré-pagamentoResidencialResidencial baixa renda – faixa 02Não se aplicaNão se aplicaIntermediário",Mercado_Receita!$L$2:$L$548)+SUMIF(Mercado_Receita!$S$2:$S$548,"44682B1Convencional pré-pagamentoResidencialResidencial baixa renda – faixa 02Não se aplicaNão se aplicaNão se aplica",Mercado_Receita!$L$2:$L$548)</f>
        <v>0</v>
      </c>
      <c r="R24" s="13">
        <f>SUMIF(Mercado_Receita!$S$2:$S$548,"44713B1Convencional pré-pagamentoResidencialResidencial baixa renda – faixa 02Não se aplicaNão se aplicaPonta",Mercado_Receita!$L$2:$L$548)+SUMIF(Mercado_Receita!$S$2:$S$548,"44713B1Convencional pré-pagamentoResidencialResidencial baixa renda – faixa 02Não se aplicaNão se aplicaFora ponta",Mercado_Receita!$L$2:$L$548)+SUMIF(Mercado_Receita!$S$2:$S$548,"44713B1Convencional pré-pagamentoResidencialResidencial baixa renda – faixa 02Não se aplicaNão se aplicaIntermediário",Mercado_Receita!$L$2:$L$548)+SUMIF(Mercado_Receita!$S$2:$S$548,"44713B1Convencional pré-pagamentoResidencialResidencial baixa renda – faixa 02Não se aplicaNão se aplicaNão se aplica",Mercado_Receita!$L$2:$L$548)</f>
        <v>0</v>
      </c>
      <c r="S24" s="13">
        <f>SUMIF(Mercado_Receita!$S$2:$S$548,"44743B1Convencional pré-pagamentoResidencialResidencial baixa renda – faixa 02Não se aplicaNão se aplicaPonta",Mercado_Receita!$L$2:$L$548)+SUMIF(Mercado_Receita!$S$2:$S$548,"44743B1Convencional pré-pagamentoResidencialResidencial baixa renda – faixa 02Não se aplicaNão se aplicaFora ponta",Mercado_Receita!$L$2:$L$548)+SUMIF(Mercado_Receita!$S$2:$S$548,"44743B1Convencional pré-pagamentoResidencialResidencial baixa renda – faixa 02Não se aplicaNão se aplicaIntermediário",Mercado_Receita!$L$2:$L$548)+SUMIF(Mercado_Receita!$S$2:$S$548,"44743B1Convencional pré-pagamentoResidencialResidencial baixa renda – faixa 02Não se aplicaNão se aplicaNão se aplica",Mercado_Receita!$L$2:$L$548)</f>
        <v>0</v>
      </c>
      <c r="T24" s="13">
        <f>SUMIF(Mercado_Receita!$S$2:$S$548,"44774B1Convencional pré-pagamentoResidencialResidencial baixa renda – faixa 02Não se aplicaNão se aplicaPonta",Mercado_Receita!$L$2:$L$548)+SUMIF(Mercado_Receita!$S$2:$S$548,"44774B1Convencional pré-pagamentoResidencialResidencial baixa renda – faixa 02Não se aplicaNão se aplicaFora ponta",Mercado_Receita!$L$2:$L$548)+SUMIF(Mercado_Receita!$S$2:$S$548,"44774B1Convencional pré-pagamentoResidencialResidencial baixa renda – faixa 02Não se aplicaNão se aplicaIntermediário",Mercado_Receita!$L$2:$L$548)+SUMIF(Mercado_Receita!$S$2:$S$548,"44774B1Convencional pré-pagamentoResidencialResidencial baixa renda – faixa 02Não se aplicaNão se aplicaNão se aplica",Mercado_Receita!$L$2:$L$548)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7"/>
      <c r="C25" s="77"/>
      <c r="D25" s="12" t="s">
        <v>31</v>
      </c>
      <c r="E25" s="12" t="s">
        <v>25</v>
      </c>
      <c r="F25" s="12" t="s">
        <v>25</v>
      </c>
      <c r="G25" s="13" t="s">
        <v>78</v>
      </c>
      <c r="H25" s="13" t="s">
        <v>72</v>
      </c>
      <c r="I25" s="13">
        <f>SUMIF(Mercado_Receita!$S$2:$S$548,"44440B1Convencional pré-pagamentoResidencialResidencial baixa renda – faixa 03Não se aplicaNão se aplicaPonta",Mercado_Receita!$L$2:$L$548)+SUMIF(Mercado_Receita!$S$2:$S$548,"44440B1Convencional pré-pagamentoResidencialResidencial baixa renda – faixa 03Não se aplicaNão se aplicaFora ponta",Mercado_Receita!$L$2:$L$548)+SUMIF(Mercado_Receita!$S$2:$S$548,"44440B1Convencional pré-pagamentoResidencialResidencial baixa renda – faixa 03Não se aplicaNão se aplicaIntermediário",Mercado_Receita!$L$2:$L$548)+SUMIF(Mercado_Receita!$S$2:$S$548,"44440B1Convencional pré-pagamentoResidencialResidencial baixa renda – faixa 03Não se aplicaNão se aplicaNão se aplica",Mercado_Receita!$L$2:$L$548)</f>
        <v>0</v>
      </c>
      <c r="J25" s="13">
        <f>SUMIF(Mercado_Receita!$S$2:$S$548,"44470B1Convencional pré-pagamentoResidencialResidencial baixa renda – faixa 03Não se aplicaNão se aplicaPonta",Mercado_Receita!$L$2:$L$548)+SUMIF(Mercado_Receita!$S$2:$S$548,"44470B1Convencional pré-pagamentoResidencialResidencial baixa renda – faixa 03Não se aplicaNão se aplicaFora ponta",Mercado_Receita!$L$2:$L$548)+SUMIF(Mercado_Receita!$S$2:$S$548,"44470B1Convencional pré-pagamentoResidencialResidencial baixa renda – faixa 03Não se aplicaNão se aplicaIntermediário",Mercado_Receita!$L$2:$L$548)+SUMIF(Mercado_Receita!$S$2:$S$548,"44470B1Convencional pré-pagamentoResidencialResidencial baixa renda – faixa 03Não se aplicaNão se aplicaNão se aplica",Mercado_Receita!$L$2:$L$548)</f>
        <v>0</v>
      </c>
      <c r="K25" s="13">
        <f>SUMIF(Mercado_Receita!$S$2:$S$548,"44501B1Convencional pré-pagamentoResidencialResidencial baixa renda – faixa 03Não se aplicaNão se aplicaPonta",Mercado_Receita!$L$2:$L$548)+SUMIF(Mercado_Receita!$S$2:$S$548,"44501B1Convencional pré-pagamentoResidencialResidencial baixa renda – faixa 03Não se aplicaNão se aplicaFora ponta",Mercado_Receita!$L$2:$L$548)+SUMIF(Mercado_Receita!$S$2:$S$548,"44501B1Convencional pré-pagamentoResidencialResidencial baixa renda – faixa 03Não se aplicaNão se aplicaIntermediário",Mercado_Receita!$L$2:$L$548)+SUMIF(Mercado_Receita!$S$2:$S$548,"44501B1Convencional pré-pagamentoResidencialResidencial baixa renda – faixa 03Não se aplicaNão se aplicaNão se aplica",Mercado_Receita!$L$2:$L$548)</f>
        <v>0</v>
      </c>
      <c r="L25" s="13">
        <f>SUMIF(Mercado_Receita!$S$2:$S$548,"44531B1Convencional pré-pagamentoResidencialResidencial baixa renda – faixa 03Não se aplicaNão se aplicaPonta",Mercado_Receita!$L$2:$L$548)+SUMIF(Mercado_Receita!$S$2:$S$548,"44531B1Convencional pré-pagamentoResidencialResidencial baixa renda – faixa 03Não se aplicaNão se aplicaFora ponta",Mercado_Receita!$L$2:$L$548)+SUMIF(Mercado_Receita!$S$2:$S$548,"44531B1Convencional pré-pagamentoResidencialResidencial baixa renda – faixa 03Não se aplicaNão se aplicaIntermediário",Mercado_Receita!$L$2:$L$548)+SUMIF(Mercado_Receita!$S$2:$S$548,"44531B1Convencional pré-pagamentoResidencialResidencial baixa renda – faixa 03Não se aplicaNão se aplicaNão se aplica",Mercado_Receita!$L$2:$L$548)</f>
        <v>0</v>
      </c>
      <c r="M25" s="13">
        <f>SUMIF(Mercado_Receita!$S$2:$S$548,"44562B1Convencional pré-pagamentoResidencialResidencial baixa renda – faixa 03Não se aplicaNão se aplicaPonta",Mercado_Receita!$L$2:$L$548)+SUMIF(Mercado_Receita!$S$2:$S$548,"44562B1Convencional pré-pagamentoResidencialResidencial baixa renda – faixa 03Não se aplicaNão se aplicaFora ponta",Mercado_Receita!$L$2:$L$548)+SUMIF(Mercado_Receita!$S$2:$S$548,"44562B1Convencional pré-pagamentoResidencialResidencial baixa renda – faixa 03Não se aplicaNão se aplicaIntermediário",Mercado_Receita!$L$2:$L$548)+SUMIF(Mercado_Receita!$S$2:$S$548,"44562B1Convencional pré-pagamentoResidencialResidencial baixa renda – faixa 03Não se aplicaNão se aplicaNão se aplica",Mercado_Receita!$L$2:$L$548)</f>
        <v>0</v>
      </c>
      <c r="N25" s="13">
        <f>SUMIF(Mercado_Receita!$S$2:$S$548,"44593B1Convencional pré-pagamentoResidencialResidencial baixa renda – faixa 03Não se aplicaNão se aplicaPonta",Mercado_Receita!$L$2:$L$548)+SUMIF(Mercado_Receita!$S$2:$S$548,"44593B1Convencional pré-pagamentoResidencialResidencial baixa renda – faixa 03Não se aplicaNão se aplicaFora ponta",Mercado_Receita!$L$2:$L$548)+SUMIF(Mercado_Receita!$S$2:$S$548,"44593B1Convencional pré-pagamentoResidencialResidencial baixa renda – faixa 03Não se aplicaNão se aplicaIntermediário",Mercado_Receita!$L$2:$L$548)+SUMIF(Mercado_Receita!$S$2:$S$548,"44593B1Convencional pré-pagamentoResidencialResidencial baixa renda – faixa 03Não se aplicaNão se aplicaNão se aplica",Mercado_Receita!$L$2:$L$548)</f>
        <v>0</v>
      </c>
      <c r="O25" s="13">
        <f>SUMIF(Mercado_Receita!$S$2:$S$548,"44621B1Convencional pré-pagamentoResidencialResidencial baixa renda – faixa 03Não se aplicaNão se aplicaPonta",Mercado_Receita!$L$2:$L$548)+SUMIF(Mercado_Receita!$S$2:$S$548,"44621B1Convencional pré-pagamentoResidencialResidencial baixa renda – faixa 03Não se aplicaNão se aplicaFora ponta",Mercado_Receita!$L$2:$L$548)+SUMIF(Mercado_Receita!$S$2:$S$548,"44621B1Convencional pré-pagamentoResidencialResidencial baixa renda – faixa 03Não se aplicaNão se aplicaIntermediário",Mercado_Receita!$L$2:$L$548)+SUMIF(Mercado_Receita!$S$2:$S$548,"44621B1Convencional pré-pagamentoResidencialResidencial baixa renda – faixa 03Não se aplicaNão se aplicaNão se aplica",Mercado_Receita!$L$2:$L$548)</f>
        <v>0</v>
      </c>
      <c r="P25" s="13">
        <f>SUMIF(Mercado_Receita!$S$2:$S$548,"44652B1Convencional pré-pagamentoResidencialResidencial baixa renda – faixa 03Não se aplicaNão se aplicaPonta",Mercado_Receita!$L$2:$L$548)+SUMIF(Mercado_Receita!$S$2:$S$548,"44652B1Convencional pré-pagamentoResidencialResidencial baixa renda – faixa 03Não se aplicaNão se aplicaFora ponta",Mercado_Receita!$L$2:$L$548)+SUMIF(Mercado_Receita!$S$2:$S$548,"44652B1Convencional pré-pagamentoResidencialResidencial baixa renda – faixa 03Não se aplicaNão se aplicaIntermediário",Mercado_Receita!$L$2:$L$548)+SUMIF(Mercado_Receita!$S$2:$S$548,"44652B1Convencional pré-pagamentoResidencialResidencial baixa renda – faixa 03Não se aplicaNão se aplicaNão se aplica",Mercado_Receita!$L$2:$L$548)</f>
        <v>0</v>
      </c>
      <c r="Q25" s="13">
        <f>SUMIF(Mercado_Receita!$S$2:$S$548,"44682B1Convencional pré-pagamentoResidencialResidencial baixa renda – faixa 03Não se aplicaNão se aplicaPonta",Mercado_Receita!$L$2:$L$548)+SUMIF(Mercado_Receita!$S$2:$S$548,"44682B1Convencional pré-pagamentoResidencialResidencial baixa renda – faixa 03Não se aplicaNão se aplicaFora ponta",Mercado_Receita!$L$2:$L$548)+SUMIF(Mercado_Receita!$S$2:$S$548,"44682B1Convencional pré-pagamentoResidencialResidencial baixa renda – faixa 03Não se aplicaNão se aplicaIntermediário",Mercado_Receita!$L$2:$L$548)+SUMIF(Mercado_Receita!$S$2:$S$548,"44682B1Convencional pré-pagamentoResidencialResidencial baixa renda – faixa 03Não se aplicaNão se aplicaNão se aplica",Mercado_Receita!$L$2:$L$548)</f>
        <v>0</v>
      </c>
      <c r="R25" s="13">
        <f>SUMIF(Mercado_Receita!$S$2:$S$548,"44713B1Convencional pré-pagamentoResidencialResidencial baixa renda – faixa 03Não se aplicaNão se aplicaPonta",Mercado_Receita!$L$2:$L$548)+SUMIF(Mercado_Receita!$S$2:$S$548,"44713B1Convencional pré-pagamentoResidencialResidencial baixa renda – faixa 03Não se aplicaNão se aplicaFora ponta",Mercado_Receita!$L$2:$L$548)+SUMIF(Mercado_Receita!$S$2:$S$548,"44713B1Convencional pré-pagamentoResidencialResidencial baixa renda – faixa 03Não se aplicaNão se aplicaIntermediário",Mercado_Receita!$L$2:$L$548)+SUMIF(Mercado_Receita!$S$2:$S$548,"44713B1Convencional pré-pagamentoResidencialResidencial baixa renda – faixa 03Não se aplicaNão se aplicaNão se aplica",Mercado_Receita!$L$2:$L$548)</f>
        <v>0</v>
      </c>
      <c r="S25" s="13">
        <f>SUMIF(Mercado_Receita!$S$2:$S$548,"44743B1Convencional pré-pagamentoResidencialResidencial baixa renda – faixa 03Não se aplicaNão se aplicaPonta",Mercado_Receita!$L$2:$L$548)+SUMIF(Mercado_Receita!$S$2:$S$548,"44743B1Convencional pré-pagamentoResidencialResidencial baixa renda – faixa 03Não se aplicaNão se aplicaFora ponta",Mercado_Receita!$L$2:$L$548)+SUMIF(Mercado_Receita!$S$2:$S$548,"44743B1Convencional pré-pagamentoResidencialResidencial baixa renda – faixa 03Não se aplicaNão se aplicaIntermediário",Mercado_Receita!$L$2:$L$548)+SUMIF(Mercado_Receita!$S$2:$S$548,"44743B1Convencional pré-pagamentoResidencialResidencial baixa renda – faixa 03Não se aplicaNão se aplicaNão se aplica",Mercado_Receita!$L$2:$L$548)</f>
        <v>0</v>
      </c>
      <c r="T25" s="13">
        <f>SUMIF(Mercado_Receita!$S$2:$S$548,"44774B1Convencional pré-pagamentoResidencialResidencial baixa renda – faixa 03Não se aplicaNão se aplicaPonta",Mercado_Receita!$L$2:$L$548)+SUMIF(Mercado_Receita!$S$2:$S$548,"44774B1Convencional pré-pagamentoResidencialResidencial baixa renda – faixa 03Não se aplicaNão se aplicaFora ponta",Mercado_Receita!$L$2:$L$548)+SUMIF(Mercado_Receita!$S$2:$S$548,"44774B1Convencional pré-pagamentoResidencialResidencial baixa renda – faixa 03Não se aplicaNão se aplicaIntermediário",Mercado_Receita!$L$2:$L$548)+SUMIF(Mercado_Receita!$S$2:$S$548,"44774B1Convencional pré-pagamentoResidencialResidencial baixa renda – faixa 03Não se aplicaNão se aplicaNão se aplica",Mercado_Receita!$L$2:$L$548)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12" t="s">
        <v>32</v>
      </c>
      <c r="E26" s="12" t="s">
        <v>25</v>
      </c>
      <c r="F26" s="12" t="s">
        <v>25</v>
      </c>
      <c r="G26" s="13" t="s">
        <v>78</v>
      </c>
      <c r="H26" s="13" t="s">
        <v>72</v>
      </c>
      <c r="I26" s="13">
        <f>SUMIF(Mercado_Receita!$S$2:$S$548,"44440B1Convencional pré-pagamentoResidencialResidencial baixa renda – faixa 04Não se aplicaNão se aplicaPonta",Mercado_Receita!$L$2:$L$548)+SUMIF(Mercado_Receita!$S$2:$S$548,"44440B1Convencional pré-pagamentoResidencialResidencial baixa renda – faixa 04Não se aplicaNão se aplicaFora ponta",Mercado_Receita!$L$2:$L$548)+SUMIF(Mercado_Receita!$S$2:$S$548,"44440B1Convencional pré-pagamentoResidencialResidencial baixa renda – faixa 04Não se aplicaNão se aplicaIntermediário",Mercado_Receita!$L$2:$L$548)+SUMIF(Mercado_Receita!$S$2:$S$548,"44440B1Convencional pré-pagamentoResidencialResidencial baixa renda – faixa 04Não se aplicaNão se aplicaNão se aplica",Mercado_Receita!$L$2:$L$548)</f>
        <v>0</v>
      </c>
      <c r="J26" s="13">
        <f>SUMIF(Mercado_Receita!$S$2:$S$548,"44470B1Convencional pré-pagamentoResidencialResidencial baixa renda – faixa 04Não se aplicaNão se aplicaPonta",Mercado_Receita!$L$2:$L$548)+SUMIF(Mercado_Receita!$S$2:$S$548,"44470B1Convencional pré-pagamentoResidencialResidencial baixa renda – faixa 04Não se aplicaNão se aplicaFora ponta",Mercado_Receita!$L$2:$L$548)+SUMIF(Mercado_Receita!$S$2:$S$548,"44470B1Convencional pré-pagamentoResidencialResidencial baixa renda – faixa 04Não se aplicaNão se aplicaIntermediário",Mercado_Receita!$L$2:$L$548)+SUMIF(Mercado_Receita!$S$2:$S$548,"44470B1Convencional pré-pagamentoResidencialResidencial baixa renda – faixa 04Não se aplicaNão se aplicaNão se aplica",Mercado_Receita!$L$2:$L$548)</f>
        <v>0</v>
      </c>
      <c r="K26" s="13">
        <f>SUMIF(Mercado_Receita!$S$2:$S$548,"44501B1Convencional pré-pagamentoResidencialResidencial baixa renda – faixa 04Não se aplicaNão se aplicaPonta",Mercado_Receita!$L$2:$L$548)+SUMIF(Mercado_Receita!$S$2:$S$548,"44501B1Convencional pré-pagamentoResidencialResidencial baixa renda – faixa 04Não se aplicaNão se aplicaFora ponta",Mercado_Receita!$L$2:$L$548)+SUMIF(Mercado_Receita!$S$2:$S$548,"44501B1Convencional pré-pagamentoResidencialResidencial baixa renda – faixa 04Não se aplicaNão se aplicaIntermediário",Mercado_Receita!$L$2:$L$548)+SUMIF(Mercado_Receita!$S$2:$S$548,"44501B1Convencional pré-pagamentoResidencialResidencial baixa renda – faixa 04Não se aplicaNão se aplicaNão se aplica",Mercado_Receita!$L$2:$L$548)</f>
        <v>0</v>
      </c>
      <c r="L26" s="13">
        <f>SUMIF(Mercado_Receita!$S$2:$S$548,"44531B1Convencional pré-pagamentoResidencialResidencial baixa renda – faixa 04Não se aplicaNão se aplicaPonta",Mercado_Receita!$L$2:$L$548)+SUMIF(Mercado_Receita!$S$2:$S$548,"44531B1Convencional pré-pagamentoResidencialResidencial baixa renda – faixa 04Não se aplicaNão se aplicaFora ponta",Mercado_Receita!$L$2:$L$548)+SUMIF(Mercado_Receita!$S$2:$S$548,"44531B1Convencional pré-pagamentoResidencialResidencial baixa renda – faixa 04Não se aplicaNão se aplicaIntermediário",Mercado_Receita!$L$2:$L$548)+SUMIF(Mercado_Receita!$S$2:$S$548,"44531B1Convencional pré-pagamentoResidencialResidencial baixa renda – faixa 04Não se aplicaNão se aplicaNão se aplica",Mercado_Receita!$L$2:$L$548)</f>
        <v>0</v>
      </c>
      <c r="M26" s="13">
        <f>SUMIF(Mercado_Receita!$S$2:$S$548,"44562B1Convencional pré-pagamentoResidencialResidencial baixa renda – faixa 04Não se aplicaNão se aplicaPonta",Mercado_Receita!$L$2:$L$548)+SUMIF(Mercado_Receita!$S$2:$S$548,"44562B1Convencional pré-pagamentoResidencialResidencial baixa renda – faixa 04Não se aplicaNão se aplicaFora ponta",Mercado_Receita!$L$2:$L$548)+SUMIF(Mercado_Receita!$S$2:$S$548,"44562B1Convencional pré-pagamentoResidencialResidencial baixa renda – faixa 04Não se aplicaNão se aplicaIntermediário",Mercado_Receita!$L$2:$L$548)+SUMIF(Mercado_Receita!$S$2:$S$548,"44562B1Convencional pré-pagamentoResidencialResidencial baixa renda – faixa 04Não se aplicaNão se aplicaNão se aplica",Mercado_Receita!$L$2:$L$548)</f>
        <v>0</v>
      </c>
      <c r="N26" s="13">
        <f>SUMIF(Mercado_Receita!$S$2:$S$548,"44593B1Convencional pré-pagamentoResidencialResidencial baixa renda – faixa 04Não se aplicaNão se aplicaPonta",Mercado_Receita!$L$2:$L$548)+SUMIF(Mercado_Receita!$S$2:$S$548,"44593B1Convencional pré-pagamentoResidencialResidencial baixa renda – faixa 04Não se aplicaNão se aplicaFora ponta",Mercado_Receita!$L$2:$L$548)+SUMIF(Mercado_Receita!$S$2:$S$548,"44593B1Convencional pré-pagamentoResidencialResidencial baixa renda – faixa 04Não se aplicaNão se aplicaIntermediário",Mercado_Receita!$L$2:$L$548)+SUMIF(Mercado_Receita!$S$2:$S$548,"44593B1Convencional pré-pagamentoResidencialResidencial baixa renda – faixa 04Não se aplicaNão se aplicaNão se aplica",Mercado_Receita!$L$2:$L$548)</f>
        <v>0</v>
      </c>
      <c r="O26" s="13">
        <f>SUMIF(Mercado_Receita!$S$2:$S$548,"44621B1Convencional pré-pagamentoResidencialResidencial baixa renda – faixa 04Não se aplicaNão se aplicaPonta",Mercado_Receita!$L$2:$L$548)+SUMIF(Mercado_Receita!$S$2:$S$548,"44621B1Convencional pré-pagamentoResidencialResidencial baixa renda – faixa 04Não se aplicaNão se aplicaFora ponta",Mercado_Receita!$L$2:$L$548)+SUMIF(Mercado_Receita!$S$2:$S$548,"44621B1Convencional pré-pagamentoResidencialResidencial baixa renda – faixa 04Não se aplicaNão se aplicaIntermediário",Mercado_Receita!$L$2:$L$548)+SUMIF(Mercado_Receita!$S$2:$S$548,"44621B1Convencional pré-pagamentoResidencialResidencial baixa renda – faixa 04Não se aplicaNão se aplicaNão se aplica",Mercado_Receita!$L$2:$L$548)</f>
        <v>0</v>
      </c>
      <c r="P26" s="13">
        <f>SUMIF(Mercado_Receita!$S$2:$S$548,"44652B1Convencional pré-pagamentoResidencialResidencial baixa renda – faixa 04Não se aplicaNão se aplicaPonta",Mercado_Receita!$L$2:$L$548)+SUMIF(Mercado_Receita!$S$2:$S$548,"44652B1Convencional pré-pagamentoResidencialResidencial baixa renda – faixa 04Não se aplicaNão se aplicaFora ponta",Mercado_Receita!$L$2:$L$548)+SUMIF(Mercado_Receita!$S$2:$S$548,"44652B1Convencional pré-pagamentoResidencialResidencial baixa renda – faixa 04Não se aplicaNão se aplicaIntermediário",Mercado_Receita!$L$2:$L$548)+SUMIF(Mercado_Receita!$S$2:$S$548,"44652B1Convencional pré-pagamentoResidencialResidencial baixa renda – faixa 04Não se aplicaNão se aplicaNão se aplica",Mercado_Receita!$L$2:$L$548)</f>
        <v>0</v>
      </c>
      <c r="Q26" s="13">
        <f>SUMIF(Mercado_Receita!$S$2:$S$548,"44682B1Convencional pré-pagamentoResidencialResidencial baixa renda – faixa 04Não se aplicaNão se aplicaPonta",Mercado_Receita!$L$2:$L$548)+SUMIF(Mercado_Receita!$S$2:$S$548,"44682B1Convencional pré-pagamentoResidencialResidencial baixa renda – faixa 04Não se aplicaNão se aplicaFora ponta",Mercado_Receita!$L$2:$L$548)+SUMIF(Mercado_Receita!$S$2:$S$548,"44682B1Convencional pré-pagamentoResidencialResidencial baixa renda – faixa 04Não se aplicaNão se aplicaIntermediário",Mercado_Receita!$L$2:$L$548)+SUMIF(Mercado_Receita!$S$2:$S$548,"44682B1Convencional pré-pagamentoResidencialResidencial baixa renda – faixa 04Não se aplicaNão se aplicaNão se aplica",Mercado_Receita!$L$2:$L$548)</f>
        <v>0</v>
      </c>
      <c r="R26" s="13">
        <f>SUMIF(Mercado_Receita!$S$2:$S$548,"44713B1Convencional pré-pagamentoResidencialResidencial baixa renda – faixa 04Não se aplicaNão se aplicaPonta",Mercado_Receita!$L$2:$L$548)+SUMIF(Mercado_Receita!$S$2:$S$548,"44713B1Convencional pré-pagamentoResidencialResidencial baixa renda – faixa 04Não se aplicaNão se aplicaFora ponta",Mercado_Receita!$L$2:$L$548)+SUMIF(Mercado_Receita!$S$2:$S$548,"44713B1Convencional pré-pagamentoResidencialResidencial baixa renda – faixa 04Não se aplicaNão se aplicaIntermediário",Mercado_Receita!$L$2:$L$548)+SUMIF(Mercado_Receita!$S$2:$S$548,"44713B1Convencional pré-pagamentoResidencialResidencial baixa renda – faixa 04Não se aplicaNão se aplicaNão se aplica",Mercado_Receita!$L$2:$L$548)</f>
        <v>0</v>
      </c>
      <c r="S26" s="13">
        <f>SUMIF(Mercado_Receita!$S$2:$S$548,"44743B1Convencional pré-pagamentoResidencialResidencial baixa renda – faixa 04Não se aplicaNão se aplicaPonta",Mercado_Receita!$L$2:$L$548)+SUMIF(Mercado_Receita!$S$2:$S$548,"44743B1Convencional pré-pagamentoResidencialResidencial baixa renda – faixa 04Não se aplicaNão se aplicaFora ponta",Mercado_Receita!$L$2:$L$548)+SUMIF(Mercado_Receita!$S$2:$S$548,"44743B1Convencional pré-pagamentoResidencialResidencial baixa renda – faixa 04Não se aplicaNão se aplicaIntermediário",Mercado_Receita!$L$2:$L$548)+SUMIF(Mercado_Receita!$S$2:$S$548,"44743B1Convencional pré-pagamentoResidencialResidencial baixa renda – faixa 04Não se aplicaNão se aplicaNão se aplica",Mercado_Receita!$L$2:$L$548)</f>
        <v>0</v>
      </c>
      <c r="T26" s="13">
        <f>SUMIF(Mercado_Receita!$S$2:$S$548,"44774B1Convencional pré-pagamentoResidencialResidencial baixa renda – faixa 04Não se aplicaNão se aplicaPonta",Mercado_Receita!$L$2:$L$548)+SUMIF(Mercado_Receita!$S$2:$S$548,"44774B1Convencional pré-pagamentoResidencialResidencial baixa renda – faixa 04Não se aplicaNão se aplicaFora ponta",Mercado_Receita!$L$2:$L$548)+SUMIF(Mercado_Receita!$S$2:$S$548,"44774B1Convencional pré-pagamentoResidencialResidencial baixa renda – faixa 04Não se aplicaNão se aplicaIntermediário",Mercado_Receita!$L$2:$L$548)+SUMIF(Mercado_Receita!$S$2:$S$548,"44774B1Convencional pré-pagamentoResidencialResidencial baixa renda – faixa 04Não se aplicaNão se aplicaNão se aplica",Mercado_Receita!$L$2:$L$548)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6" t="s">
        <v>43</v>
      </c>
      <c r="B27" s="76" t="s">
        <v>41</v>
      </c>
      <c r="C27" s="76" t="s">
        <v>44</v>
      </c>
      <c r="D27" s="76" t="s">
        <v>25</v>
      </c>
      <c r="E27" s="76" t="s">
        <v>25</v>
      </c>
      <c r="F27" s="76" t="s">
        <v>25</v>
      </c>
      <c r="G27" s="13" t="s">
        <v>73</v>
      </c>
      <c r="H27" s="13" t="s">
        <v>72</v>
      </c>
      <c r="I27" s="13">
        <f>SUMIF(Mercado_Receita!$S$2:$S$548,"44440B2BrancaRuralNão se aplicaNão se aplicaNão se aplicaPonta",Mercado_Receita!$L$2:$L$548)</f>
        <v>0</v>
      </c>
      <c r="J27" s="13">
        <f>SUMIF(Mercado_Receita!$S$2:$S$548,"44470B2BrancaRuralNão se aplicaNão se aplicaNão se aplicaPonta",Mercado_Receita!$L$2:$L$548)</f>
        <v>0</v>
      </c>
      <c r="K27" s="13">
        <f>SUMIF(Mercado_Receita!$S$2:$S$548,"44501B2BrancaRuralNão se aplicaNão se aplicaNão se aplicaPonta",Mercado_Receita!$L$2:$L$548)</f>
        <v>0</v>
      </c>
      <c r="L27" s="13">
        <f>SUMIF(Mercado_Receita!$S$2:$S$548,"44531B2BrancaRuralNão se aplicaNão se aplicaNão se aplicaPonta",Mercado_Receita!$L$2:$L$548)</f>
        <v>0</v>
      </c>
      <c r="M27" s="13">
        <f>SUMIF(Mercado_Receita!$S$2:$S$548,"44562B2BrancaRuralNão se aplicaNão se aplicaNão se aplicaPonta",Mercado_Receita!$L$2:$L$548)</f>
        <v>0</v>
      </c>
      <c r="N27" s="13">
        <f>SUMIF(Mercado_Receita!$S$2:$S$548,"44593B2BrancaRuralNão se aplicaNão se aplicaNão se aplicaPonta",Mercado_Receita!$L$2:$L$548)</f>
        <v>0</v>
      </c>
      <c r="O27" s="13">
        <f>SUMIF(Mercado_Receita!$S$2:$S$548,"44621B2BrancaRuralNão se aplicaNão se aplicaNão se aplicaPonta",Mercado_Receita!$L$2:$L$548)</f>
        <v>0</v>
      </c>
      <c r="P27" s="13">
        <f>SUMIF(Mercado_Receita!$S$2:$S$548,"44652B2BrancaRuralNão se aplicaNão se aplicaNão se aplicaPonta",Mercado_Receita!$L$2:$L$548)</f>
        <v>0</v>
      </c>
      <c r="Q27" s="13">
        <f>SUMIF(Mercado_Receita!$S$2:$S$548,"44682B2BrancaRuralNão se aplicaNão se aplicaNão se aplicaPonta",Mercado_Receita!$L$2:$L$548)</f>
        <v>0</v>
      </c>
      <c r="R27" s="13">
        <f>SUMIF(Mercado_Receita!$S$2:$S$548,"44713B2BrancaRuralNão se aplicaNão se aplicaNão se aplicaPonta",Mercado_Receita!$L$2:$L$548)</f>
        <v>0</v>
      </c>
      <c r="S27" s="13">
        <f>SUMIF(Mercado_Receita!$S$2:$S$548,"44743B2BrancaRuralNão se aplicaNão se aplicaNão se aplicaPonta",Mercado_Receita!$L$2:$L$548)</f>
        <v>0</v>
      </c>
      <c r="T27" s="13">
        <f>SUMIF(Mercado_Receita!$S$2:$S$548,"44774B2BrancaRuralNão se aplicaNão se aplicaNão se aplicaPonta",Mercado_Receita!$L$2:$L$548)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77"/>
      <c r="C28" s="77"/>
      <c r="D28" s="77"/>
      <c r="E28" s="77"/>
      <c r="F28" s="77"/>
      <c r="G28" s="13" t="s">
        <v>84</v>
      </c>
      <c r="H28" s="13" t="s">
        <v>72</v>
      </c>
      <c r="I28" s="13">
        <f>SUMIF(Mercado_Receita!$S$2:$S$548,"44440B2BrancaRuralNão se aplicaNão se aplicaNão se aplicaIntermediário",Mercado_Receita!$L$2:$L$548)</f>
        <v>0</v>
      </c>
      <c r="J28" s="13">
        <f>SUMIF(Mercado_Receita!$S$2:$S$548,"44470B2BrancaRuralNão se aplicaNão se aplicaNão se aplicaIntermediário",Mercado_Receita!$L$2:$L$548)</f>
        <v>0</v>
      </c>
      <c r="K28" s="13">
        <f>SUMIF(Mercado_Receita!$S$2:$S$548,"44501B2BrancaRuralNão se aplicaNão se aplicaNão se aplicaIntermediário",Mercado_Receita!$L$2:$L$548)</f>
        <v>0</v>
      </c>
      <c r="L28" s="13">
        <f>SUMIF(Mercado_Receita!$S$2:$S$548,"44531B2BrancaRuralNão se aplicaNão se aplicaNão se aplicaIntermediário",Mercado_Receita!$L$2:$L$548)</f>
        <v>0</v>
      </c>
      <c r="M28" s="13">
        <f>SUMIF(Mercado_Receita!$S$2:$S$548,"44562B2BrancaRuralNão se aplicaNão se aplicaNão se aplicaIntermediário",Mercado_Receita!$L$2:$L$548)</f>
        <v>0</v>
      </c>
      <c r="N28" s="13">
        <f>SUMIF(Mercado_Receita!$S$2:$S$548,"44593B2BrancaRuralNão se aplicaNão se aplicaNão se aplicaIntermediário",Mercado_Receita!$L$2:$L$548)</f>
        <v>0</v>
      </c>
      <c r="O28" s="13">
        <f>SUMIF(Mercado_Receita!$S$2:$S$548,"44621B2BrancaRuralNão se aplicaNão se aplicaNão se aplicaIntermediário",Mercado_Receita!$L$2:$L$548)</f>
        <v>0</v>
      </c>
      <c r="P28" s="13">
        <f>SUMIF(Mercado_Receita!$S$2:$S$548,"44652B2BrancaRuralNão se aplicaNão se aplicaNão se aplicaIntermediário",Mercado_Receita!$L$2:$L$548)</f>
        <v>0</v>
      </c>
      <c r="Q28" s="13">
        <f>SUMIF(Mercado_Receita!$S$2:$S$548,"44682B2BrancaRuralNão se aplicaNão se aplicaNão se aplicaIntermediário",Mercado_Receita!$L$2:$L$548)</f>
        <v>0</v>
      </c>
      <c r="R28" s="13">
        <f>SUMIF(Mercado_Receita!$S$2:$S$548,"44713B2BrancaRuralNão se aplicaNão se aplicaNão se aplicaIntermediário",Mercado_Receita!$L$2:$L$548)</f>
        <v>0</v>
      </c>
      <c r="S28" s="13">
        <f>SUMIF(Mercado_Receita!$S$2:$S$548,"44743B2BrancaRuralNão se aplicaNão se aplicaNão se aplicaIntermediário",Mercado_Receita!$L$2:$L$548)</f>
        <v>0</v>
      </c>
      <c r="T28" s="13">
        <f>SUMIF(Mercado_Receita!$S$2:$S$548,"44774B2BrancaRuralNão se aplicaNão se aplicaNão se aplicaIntermediário",Mercado_Receita!$L$2:$L$548)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7"/>
      <c r="C29" s="77"/>
      <c r="D29" s="77"/>
      <c r="E29" s="77"/>
      <c r="F29" s="77"/>
      <c r="G29" s="13" t="s">
        <v>74</v>
      </c>
      <c r="H29" s="13" t="s">
        <v>72</v>
      </c>
      <c r="I29" s="13">
        <f>SUMIF(Mercado_Receita!$S$2:$S$548,"44440B2BrancaRuralNão se aplicaNão se aplicaNão se aplicaFora ponta",Mercado_Receita!$L$2:$L$548)</f>
        <v>0</v>
      </c>
      <c r="J29" s="13">
        <f>SUMIF(Mercado_Receita!$S$2:$S$548,"44470B2BrancaRuralNão se aplicaNão se aplicaNão se aplicaFora ponta",Mercado_Receita!$L$2:$L$548)</f>
        <v>0</v>
      </c>
      <c r="K29" s="13">
        <f>SUMIF(Mercado_Receita!$S$2:$S$548,"44501B2BrancaRuralNão se aplicaNão se aplicaNão se aplicaFora ponta",Mercado_Receita!$L$2:$L$548)</f>
        <v>0</v>
      </c>
      <c r="L29" s="13">
        <f>SUMIF(Mercado_Receita!$S$2:$S$548,"44531B2BrancaRuralNão se aplicaNão se aplicaNão se aplicaFora ponta",Mercado_Receita!$L$2:$L$548)</f>
        <v>0</v>
      </c>
      <c r="M29" s="13">
        <f>SUMIF(Mercado_Receita!$S$2:$S$548,"44562B2BrancaRuralNão se aplicaNão se aplicaNão se aplicaFora ponta",Mercado_Receita!$L$2:$L$548)</f>
        <v>0</v>
      </c>
      <c r="N29" s="13">
        <f>SUMIF(Mercado_Receita!$S$2:$S$548,"44593B2BrancaRuralNão se aplicaNão se aplicaNão se aplicaFora ponta",Mercado_Receita!$L$2:$L$548)</f>
        <v>0</v>
      </c>
      <c r="O29" s="13">
        <f>SUMIF(Mercado_Receita!$S$2:$S$548,"44621B2BrancaRuralNão se aplicaNão se aplicaNão se aplicaFora ponta",Mercado_Receita!$L$2:$L$548)</f>
        <v>0</v>
      </c>
      <c r="P29" s="13">
        <f>SUMIF(Mercado_Receita!$S$2:$S$548,"44652B2BrancaRuralNão se aplicaNão se aplicaNão se aplicaFora ponta",Mercado_Receita!$L$2:$L$548)</f>
        <v>0</v>
      </c>
      <c r="Q29" s="13">
        <f>SUMIF(Mercado_Receita!$S$2:$S$548,"44682B2BrancaRuralNão se aplicaNão se aplicaNão se aplicaFora ponta",Mercado_Receita!$L$2:$L$548)</f>
        <v>0</v>
      </c>
      <c r="R29" s="13">
        <f>SUMIF(Mercado_Receita!$S$2:$S$548,"44713B2BrancaRuralNão se aplicaNão se aplicaNão se aplicaFora ponta",Mercado_Receita!$L$2:$L$548)</f>
        <v>0</v>
      </c>
      <c r="S29" s="13">
        <f>SUMIF(Mercado_Receita!$S$2:$S$548,"44743B2BrancaRuralNão se aplicaNão se aplicaNão se aplicaFora ponta",Mercado_Receita!$L$2:$L$548)</f>
        <v>0</v>
      </c>
      <c r="T29" s="13">
        <f>SUMIF(Mercado_Receita!$S$2:$S$548,"44774B2BrancaRuralNão se aplicaNão se aplicaNão se aplicaFora ponta",Mercado_Receita!$L$2:$L$548)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12" t="s">
        <v>23</v>
      </c>
      <c r="C30" s="12" t="s">
        <v>44</v>
      </c>
      <c r="D30" s="12" t="s">
        <v>25</v>
      </c>
      <c r="E30" s="12" t="s">
        <v>25</v>
      </c>
      <c r="F30" s="12" t="s">
        <v>25</v>
      </c>
      <c r="G30" s="13" t="s">
        <v>78</v>
      </c>
      <c r="H30" s="13" t="s">
        <v>72</v>
      </c>
      <c r="I30" s="13">
        <f>SUMIF(Mercado_Receita!$S$2:$S$548,"44440B2ConvencionalRuralNão se aplicaNão se aplicaNão se aplicaPonta",Mercado_Receita!$L$2:$L$548)+SUMIF(Mercado_Receita!$S$2:$S$548,"44440B2ConvencionalRuralNão se aplicaNão se aplicaNão se aplicaFora ponta",Mercado_Receita!$L$2:$L$548)+SUMIF(Mercado_Receita!$S$2:$S$548,"44440B2ConvencionalRuralNão se aplicaNão se aplicaNão se aplicaIntermediário",Mercado_Receita!$L$2:$L$548)+SUMIF(Mercado_Receita!$S$2:$S$548,"44440B2ConvencionalRuralNão se aplicaNão se aplicaNão se aplicaNão se aplica",Mercado_Receita!$L$2:$L$548)</f>
        <v>246.489</v>
      </c>
      <c r="J30" s="13">
        <f>SUMIF(Mercado_Receita!$S$2:$S$548,"44470B2ConvencionalRuralNão se aplicaNão se aplicaNão se aplicaPonta",Mercado_Receita!$L$2:$L$548)+SUMIF(Mercado_Receita!$S$2:$S$548,"44470B2ConvencionalRuralNão se aplicaNão se aplicaNão se aplicaFora ponta",Mercado_Receita!$L$2:$L$548)+SUMIF(Mercado_Receita!$S$2:$S$548,"44470B2ConvencionalRuralNão se aplicaNão se aplicaNão se aplicaIntermediário",Mercado_Receita!$L$2:$L$548)+SUMIF(Mercado_Receita!$S$2:$S$548,"44470B2ConvencionalRuralNão se aplicaNão se aplicaNão se aplicaNão se aplica",Mercado_Receita!$L$2:$L$548)</f>
        <v>304.65499999999997</v>
      </c>
      <c r="K30" s="13">
        <f>SUMIF(Mercado_Receita!$S$2:$S$548,"44501B2ConvencionalRuralNão se aplicaNão se aplicaNão se aplicaPonta",Mercado_Receita!$L$2:$L$548)+SUMIF(Mercado_Receita!$S$2:$S$548,"44501B2ConvencionalRuralNão se aplicaNão se aplicaNão se aplicaFora ponta",Mercado_Receita!$L$2:$L$548)+SUMIF(Mercado_Receita!$S$2:$S$548,"44501B2ConvencionalRuralNão se aplicaNão se aplicaNão se aplicaIntermediário",Mercado_Receita!$L$2:$L$548)+SUMIF(Mercado_Receita!$S$2:$S$548,"44501B2ConvencionalRuralNão se aplicaNão se aplicaNão se aplicaNão se aplica",Mercado_Receita!$L$2:$L$548)</f>
        <v>339.03999999999996</v>
      </c>
      <c r="L30" s="13">
        <f>SUMIF(Mercado_Receita!$S$2:$S$548,"44531B2ConvencionalRuralNão se aplicaNão se aplicaNão se aplicaPonta",Mercado_Receita!$L$2:$L$548)+SUMIF(Mercado_Receita!$S$2:$S$548,"44531B2ConvencionalRuralNão se aplicaNão se aplicaNão se aplicaFora ponta",Mercado_Receita!$L$2:$L$548)+SUMIF(Mercado_Receita!$S$2:$S$548,"44531B2ConvencionalRuralNão se aplicaNão se aplicaNão se aplicaIntermediário",Mercado_Receita!$L$2:$L$548)+SUMIF(Mercado_Receita!$S$2:$S$548,"44531B2ConvencionalRuralNão se aplicaNão se aplicaNão se aplicaNão se aplica",Mercado_Receita!$L$2:$L$548)</f>
        <v>326.625</v>
      </c>
      <c r="M30" s="13">
        <f>SUMIF(Mercado_Receita!$S$2:$S$548,"44562B2ConvencionalRuralNão se aplicaNão se aplicaNão se aplicaPonta",Mercado_Receita!$L$2:$L$548)+SUMIF(Mercado_Receita!$S$2:$S$548,"44562B2ConvencionalRuralNão se aplicaNão se aplicaNão se aplicaFora ponta",Mercado_Receita!$L$2:$L$548)+SUMIF(Mercado_Receita!$S$2:$S$548,"44562B2ConvencionalRuralNão se aplicaNão se aplicaNão se aplicaIntermediário",Mercado_Receita!$L$2:$L$548)+SUMIF(Mercado_Receita!$S$2:$S$548,"44562B2ConvencionalRuralNão se aplicaNão se aplicaNão se aplicaNão se aplica",Mercado_Receita!$L$2:$L$548)</f>
        <v>324.64099999999996</v>
      </c>
      <c r="N30" s="13">
        <f>SUMIF(Mercado_Receita!$S$2:$S$548,"44593B2ConvencionalRuralNão se aplicaNão se aplicaNão se aplicaPonta",Mercado_Receita!$L$2:$L$548)+SUMIF(Mercado_Receita!$S$2:$S$548,"44593B2ConvencionalRuralNão se aplicaNão se aplicaNão se aplicaFora ponta",Mercado_Receita!$L$2:$L$548)+SUMIF(Mercado_Receita!$S$2:$S$548,"44593B2ConvencionalRuralNão se aplicaNão se aplicaNão se aplicaIntermediário",Mercado_Receita!$L$2:$L$548)+SUMIF(Mercado_Receita!$S$2:$S$548,"44593B2ConvencionalRuralNão se aplicaNão se aplicaNão se aplicaNão se aplica",Mercado_Receita!$L$2:$L$548)</f>
        <v>274.28199999999998</v>
      </c>
      <c r="O30" s="13">
        <f>SUMIF(Mercado_Receita!$S$2:$S$548,"44621B2ConvencionalRuralNão se aplicaNão se aplicaNão se aplicaPonta",Mercado_Receita!$L$2:$L$548)+SUMIF(Mercado_Receita!$S$2:$S$548,"44621B2ConvencionalRuralNão se aplicaNão se aplicaNão se aplicaFora ponta",Mercado_Receita!$L$2:$L$548)+SUMIF(Mercado_Receita!$S$2:$S$548,"44621B2ConvencionalRuralNão se aplicaNão se aplicaNão se aplicaIntermediário",Mercado_Receita!$L$2:$L$548)+SUMIF(Mercado_Receita!$S$2:$S$548,"44621B2ConvencionalRuralNão se aplicaNão se aplicaNão se aplicaNão se aplica",Mercado_Receita!$L$2:$L$548)</f>
        <v>261.06699999999995</v>
      </c>
      <c r="P30" s="13">
        <f>SUMIF(Mercado_Receita!$S$2:$S$548,"44652B2ConvencionalRuralNão se aplicaNão se aplicaNão se aplicaPonta",Mercado_Receita!$L$2:$L$548)+SUMIF(Mercado_Receita!$S$2:$S$548,"44652B2ConvencionalRuralNão se aplicaNão se aplicaNão se aplicaFora ponta",Mercado_Receita!$L$2:$L$548)+SUMIF(Mercado_Receita!$S$2:$S$548,"44652B2ConvencionalRuralNão se aplicaNão se aplicaNão se aplicaIntermediário",Mercado_Receita!$L$2:$L$548)+SUMIF(Mercado_Receita!$S$2:$S$548,"44652B2ConvencionalRuralNão se aplicaNão se aplicaNão se aplicaNão se aplica",Mercado_Receita!$L$2:$L$548)</f>
        <v>227.733</v>
      </c>
      <c r="Q30" s="13">
        <f>SUMIF(Mercado_Receita!$S$2:$S$548,"44682B2ConvencionalRuralNão se aplicaNão se aplicaNão se aplicaPonta",Mercado_Receita!$L$2:$L$548)+SUMIF(Mercado_Receita!$S$2:$S$548,"44682B2ConvencionalRuralNão se aplicaNão se aplicaNão se aplicaFora ponta",Mercado_Receita!$L$2:$L$548)+SUMIF(Mercado_Receita!$S$2:$S$548,"44682B2ConvencionalRuralNão se aplicaNão se aplicaNão se aplicaIntermediário",Mercado_Receita!$L$2:$L$548)+SUMIF(Mercado_Receita!$S$2:$S$548,"44682B2ConvencionalRuralNão se aplicaNão se aplicaNão se aplicaNão se aplica",Mercado_Receita!$L$2:$L$548)</f>
        <v>217.43499999999997</v>
      </c>
      <c r="R30" s="13">
        <f>SUMIF(Mercado_Receita!$S$2:$S$548,"44713B2ConvencionalRuralNão se aplicaNão se aplicaNão se aplicaPonta",Mercado_Receita!$L$2:$L$548)+SUMIF(Mercado_Receita!$S$2:$S$548,"44713B2ConvencionalRuralNão se aplicaNão se aplicaNão se aplicaFora ponta",Mercado_Receita!$L$2:$L$548)+SUMIF(Mercado_Receita!$S$2:$S$548,"44713B2ConvencionalRuralNão se aplicaNão se aplicaNão se aplicaIntermediário",Mercado_Receita!$L$2:$L$548)+SUMIF(Mercado_Receita!$S$2:$S$548,"44713B2ConvencionalRuralNão se aplicaNão se aplicaNão se aplicaNão se aplica",Mercado_Receita!$L$2:$L$548)</f>
        <v>235.327</v>
      </c>
      <c r="S30" s="13">
        <f>SUMIF(Mercado_Receita!$S$2:$S$548,"44743B2ConvencionalRuralNão se aplicaNão se aplicaNão se aplicaPonta",Mercado_Receita!$L$2:$L$548)+SUMIF(Mercado_Receita!$S$2:$S$548,"44743B2ConvencionalRuralNão se aplicaNão se aplicaNão se aplicaFora ponta",Mercado_Receita!$L$2:$L$548)+SUMIF(Mercado_Receita!$S$2:$S$548,"44743B2ConvencionalRuralNão se aplicaNão se aplicaNão se aplicaIntermediário",Mercado_Receita!$L$2:$L$548)+SUMIF(Mercado_Receita!$S$2:$S$548,"44743B2ConvencionalRuralNão se aplicaNão se aplicaNão se aplicaNão se aplica",Mercado_Receita!$L$2:$L$548)</f>
        <v>222.078</v>
      </c>
      <c r="T30" s="13">
        <f>SUMIF(Mercado_Receita!$S$2:$S$548,"44774B2ConvencionalRuralNão se aplicaNão se aplicaNão se aplicaPonta",Mercado_Receita!$L$2:$L$548)+SUMIF(Mercado_Receita!$S$2:$S$548,"44774B2ConvencionalRuralNão se aplicaNão se aplicaNão se aplicaFora ponta",Mercado_Receita!$L$2:$L$548)+SUMIF(Mercado_Receita!$S$2:$S$548,"44774B2ConvencionalRuralNão se aplicaNão se aplicaNão se aplicaIntermediário",Mercado_Receita!$L$2:$L$548)+SUMIF(Mercado_Receita!$S$2:$S$548,"44774B2ConvencionalRuralNão se aplicaNão se aplicaNão se aplicaNão se aplica",Mercado_Receita!$L$2:$L$548)</f>
        <v>222.078</v>
      </c>
      <c r="U30" s="13">
        <f t="shared" si="0"/>
        <v>3201.45</v>
      </c>
      <c r="V30" s="13"/>
      <c r="W30" s="13"/>
    </row>
    <row r="31" spans="1:23" ht="11.25" customHeight="1" x14ac:dyDescent="0.25">
      <c r="A31" s="77"/>
      <c r="B31" s="76" t="s">
        <v>41</v>
      </c>
      <c r="C31" s="76" t="s">
        <v>44</v>
      </c>
      <c r="D31" s="76" t="s">
        <v>88</v>
      </c>
      <c r="E31" s="76" t="s">
        <v>25</v>
      </c>
      <c r="F31" s="76" t="s">
        <v>25</v>
      </c>
      <c r="G31" s="13" t="s">
        <v>73</v>
      </c>
      <c r="H31" s="13" t="s">
        <v>72</v>
      </c>
      <c r="I31" s="13">
        <f>SUMIF(Mercado_Receita!$S$2:$S$548,"44440B2BrancaRuralCooperativa de eletrificação ruralNão se aplicaNão se aplicaPonta",Mercado_Receita!$L$2:$L$548)</f>
        <v>0</v>
      </c>
      <c r="J31" s="13">
        <f>SUMIF(Mercado_Receita!$S$2:$S$548,"44470B2BrancaRuralCooperativa de eletrificação ruralNão se aplicaNão se aplicaPonta",Mercado_Receita!$L$2:$L$548)</f>
        <v>0</v>
      </c>
      <c r="K31" s="13">
        <f>SUMIF(Mercado_Receita!$S$2:$S$548,"44501B2BrancaRuralCooperativa de eletrificação ruralNão se aplicaNão se aplicaPonta",Mercado_Receita!$L$2:$L$548)</f>
        <v>0</v>
      </c>
      <c r="L31" s="13">
        <f>SUMIF(Mercado_Receita!$S$2:$S$548,"44531B2BrancaRuralCooperativa de eletrificação ruralNão se aplicaNão se aplicaPonta",Mercado_Receita!$L$2:$L$548)</f>
        <v>0</v>
      </c>
      <c r="M31" s="13">
        <f>SUMIF(Mercado_Receita!$S$2:$S$548,"44562B2BrancaRuralCooperativa de eletrificação ruralNão se aplicaNão se aplicaPonta",Mercado_Receita!$L$2:$L$548)</f>
        <v>0</v>
      </c>
      <c r="N31" s="13">
        <f>SUMIF(Mercado_Receita!$S$2:$S$548,"44593B2BrancaRuralCooperativa de eletrificação ruralNão se aplicaNão se aplicaPonta",Mercado_Receita!$L$2:$L$548)</f>
        <v>0</v>
      </c>
      <c r="O31" s="13">
        <f>SUMIF(Mercado_Receita!$S$2:$S$548,"44621B2BrancaRuralCooperativa de eletrificação ruralNão se aplicaNão se aplicaPonta",Mercado_Receita!$L$2:$L$548)</f>
        <v>0</v>
      </c>
      <c r="P31" s="13">
        <f>SUMIF(Mercado_Receita!$S$2:$S$548,"44652B2BrancaRuralCooperativa de eletrificação ruralNão se aplicaNão se aplicaPonta",Mercado_Receita!$L$2:$L$548)</f>
        <v>0</v>
      </c>
      <c r="Q31" s="13">
        <f>SUMIF(Mercado_Receita!$S$2:$S$548,"44682B2BrancaRuralCooperativa de eletrificação ruralNão se aplicaNão se aplicaPonta",Mercado_Receita!$L$2:$L$548)</f>
        <v>0</v>
      </c>
      <c r="R31" s="13">
        <f>SUMIF(Mercado_Receita!$S$2:$S$548,"44713B2BrancaRuralCooperativa de eletrificação ruralNão se aplicaNão se aplicaPonta",Mercado_Receita!$L$2:$L$548)</f>
        <v>0</v>
      </c>
      <c r="S31" s="13">
        <f>SUMIF(Mercado_Receita!$S$2:$S$548,"44743B2BrancaRuralCooperativa de eletrificação ruralNão se aplicaNão se aplicaPonta",Mercado_Receita!$L$2:$L$548)</f>
        <v>0</v>
      </c>
      <c r="T31" s="13">
        <f>SUMIF(Mercado_Receita!$S$2:$S$548,"44774B2BrancaRuralCooperativa de eletrificação ruralNão se aplicaNão se aplicaPonta",Mercado_Receita!$L$2:$L$548)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/>
      <c r="B32" s="77"/>
      <c r="C32" s="77"/>
      <c r="D32" s="77"/>
      <c r="E32" s="77"/>
      <c r="F32" s="77"/>
      <c r="G32" s="13" t="s">
        <v>84</v>
      </c>
      <c r="H32" s="13" t="s">
        <v>72</v>
      </c>
      <c r="I32" s="13">
        <f>SUMIF(Mercado_Receita!$S$2:$S$548,"44440B2BrancaRuralCooperativa de eletrificação ruralNão se aplicaNão se aplicaIntermediário",Mercado_Receita!$L$2:$L$548)</f>
        <v>0</v>
      </c>
      <c r="J32" s="13">
        <f>SUMIF(Mercado_Receita!$S$2:$S$548,"44470B2BrancaRuralCooperativa de eletrificação ruralNão se aplicaNão se aplicaIntermediário",Mercado_Receita!$L$2:$L$548)</f>
        <v>0</v>
      </c>
      <c r="K32" s="13">
        <f>SUMIF(Mercado_Receita!$S$2:$S$548,"44501B2BrancaRuralCooperativa de eletrificação ruralNão se aplicaNão se aplicaIntermediário",Mercado_Receita!$L$2:$L$548)</f>
        <v>0</v>
      </c>
      <c r="L32" s="13">
        <f>SUMIF(Mercado_Receita!$S$2:$S$548,"44531B2BrancaRuralCooperativa de eletrificação ruralNão se aplicaNão se aplicaIntermediário",Mercado_Receita!$L$2:$L$548)</f>
        <v>0</v>
      </c>
      <c r="M32" s="13">
        <f>SUMIF(Mercado_Receita!$S$2:$S$548,"44562B2BrancaRuralCooperativa de eletrificação ruralNão se aplicaNão se aplicaIntermediário",Mercado_Receita!$L$2:$L$548)</f>
        <v>0</v>
      </c>
      <c r="N32" s="13">
        <f>SUMIF(Mercado_Receita!$S$2:$S$548,"44593B2BrancaRuralCooperativa de eletrificação ruralNão se aplicaNão se aplicaIntermediário",Mercado_Receita!$L$2:$L$548)</f>
        <v>0</v>
      </c>
      <c r="O32" s="13">
        <f>SUMIF(Mercado_Receita!$S$2:$S$548,"44621B2BrancaRuralCooperativa de eletrificação ruralNão se aplicaNão se aplicaIntermediário",Mercado_Receita!$L$2:$L$548)</f>
        <v>0</v>
      </c>
      <c r="P32" s="13">
        <f>SUMIF(Mercado_Receita!$S$2:$S$548,"44652B2BrancaRuralCooperativa de eletrificação ruralNão se aplicaNão se aplicaIntermediário",Mercado_Receita!$L$2:$L$548)</f>
        <v>0</v>
      </c>
      <c r="Q32" s="13">
        <f>SUMIF(Mercado_Receita!$S$2:$S$548,"44682B2BrancaRuralCooperativa de eletrificação ruralNão se aplicaNão se aplicaIntermediário",Mercado_Receita!$L$2:$L$548)</f>
        <v>0</v>
      </c>
      <c r="R32" s="13">
        <f>SUMIF(Mercado_Receita!$S$2:$S$548,"44713B2BrancaRuralCooperativa de eletrificação ruralNão se aplicaNão se aplicaIntermediário",Mercado_Receita!$L$2:$L$548)</f>
        <v>0</v>
      </c>
      <c r="S32" s="13">
        <f>SUMIF(Mercado_Receita!$S$2:$S$548,"44743B2BrancaRuralCooperativa de eletrificação ruralNão se aplicaNão se aplicaIntermediário",Mercado_Receita!$L$2:$L$548)</f>
        <v>0</v>
      </c>
      <c r="T32" s="13">
        <f>SUMIF(Mercado_Receita!$S$2:$S$548,"44774B2BrancaRuralCooperativa de eletrificação ruralNão se aplicaNão se aplicaIntermediário",Mercado_Receita!$L$2:$L$548)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74</v>
      </c>
      <c r="H33" s="13" t="s">
        <v>72</v>
      </c>
      <c r="I33" s="13">
        <f>SUMIF(Mercado_Receita!$S$2:$S$548,"44440B2BrancaRuralCooperativa de eletrificação ruralNão se aplicaNão se aplicaFora ponta",Mercado_Receita!$L$2:$L$548)</f>
        <v>0</v>
      </c>
      <c r="J33" s="13">
        <f>SUMIF(Mercado_Receita!$S$2:$S$548,"44470B2BrancaRuralCooperativa de eletrificação ruralNão se aplicaNão se aplicaFora ponta",Mercado_Receita!$L$2:$L$548)</f>
        <v>0</v>
      </c>
      <c r="K33" s="13">
        <f>SUMIF(Mercado_Receita!$S$2:$S$548,"44501B2BrancaRuralCooperativa de eletrificação ruralNão se aplicaNão se aplicaFora ponta",Mercado_Receita!$L$2:$L$548)</f>
        <v>0</v>
      </c>
      <c r="L33" s="13">
        <f>SUMIF(Mercado_Receita!$S$2:$S$548,"44531B2BrancaRuralCooperativa de eletrificação ruralNão se aplicaNão se aplicaFora ponta",Mercado_Receita!$L$2:$L$548)</f>
        <v>0</v>
      </c>
      <c r="M33" s="13">
        <f>SUMIF(Mercado_Receita!$S$2:$S$548,"44562B2BrancaRuralCooperativa de eletrificação ruralNão se aplicaNão se aplicaFora ponta",Mercado_Receita!$L$2:$L$548)</f>
        <v>0</v>
      </c>
      <c r="N33" s="13">
        <f>SUMIF(Mercado_Receita!$S$2:$S$548,"44593B2BrancaRuralCooperativa de eletrificação ruralNão se aplicaNão se aplicaFora ponta",Mercado_Receita!$L$2:$L$548)</f>
        <v>0</v>
      </c>
      <c r="O33" s="13">
        <f>SUMIF(Mercado_Receita!$S$2:$S$548,"44621B2BrancaRuralCooperativa de eletrificação ruralNão se aplicaNão se aplicaFora ponta",Mercado_Receita!$L$2:$L$548)</f>
        <v>0</v>
      </c>
      <c r="P33" s="13">
        <f>SUMIF(Mercado_Receita!$S$2:$S$548,"44652B2BrancaRuralCooperativa de eletrificação ruralNão se aplicaNão se aplicaFora ponta",Mercado_Receita!$L$2:$L$548)</f>
        <v>0</v>
      </c>
      <c r="Q33" s="13">
        <f>SUMIF(Mercado_Receita!$S$2:$S$548,"44682B2BrancaRuralCooperativa de eletrificação ruralNão se aplicaNão se aplicaFora ponta",Mercado_Receita!$L$2:$L$548)</f>
        <v>0</v>
      </c>
      <c r="R33" s="13">
        <f>SUMIF(Mercado_Receita!$S$2:$S$548,"44713B2BrancaRuralCooperativa de eletrificação ruralNão se aplicaNão se aplicaFora ponta",Mercado_Receita!$L$2:$L$548)</f>
        <v>0</v>
      </c>
      <c r="S33" s="13">
        <f>SUMIF(Mercado_Receita!$S$2:$S$548,"44743B2BrancaRuralCooperativa de eletrificação ruralNão se aplicaNão se aplicaFora ponta",Mercado_Receita!$L$2:$L$548)</f>
        <v>0</v>
      </c>
      <c r="T33" s="13">
        <f>SUMIF(Mercado_Receita!$S$2:$S$548,"44774B2BrancaRuralCooperativa de eletrificação ruralNão se aplicaNão se aplicaFora ponta",Mercado_Receita!$L$2:$L$548)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7"/>
      <c r="B34" s="12" t="s">
        <v>23</v>
      </c>
      <c r="C34" s="12" t="s">
        <v>44</v>
      </c>
      <c r="D34" s="12" t="s">
        <v>88</v>
      </c>
      <c r="E34" s="12" t="s">
        <v>25</v>
      </c>
      <c r="F34" s="12" t="s">
        <v>25</v>
      </c>
      <c r="G34" s="13" t="s">
        <v>78</v>
      </c>
      <c r="H34" s="13" t="s">
        <v>72</v>
      </c>
      <c r="I34" s="13">
        <f>SUMIF(Mercado_Receita!$S$2:$S$548,"44440B2ConvencionalRuralCooperativa de eletrificação ruralNão se aplicaNão se aplicaPonta",Mercado_Receita!$L$2:$L$548)+SUMIF(Mercado_Receita!$S$2:$S$548,"44440B2ConvencionalRuralCooperativa de eletrificação ruralNão se aplicaNão se aplicaFora ponta",Mercado_Receita!$L$2:$L$548)+SUMIF(Mercado_Receita!$S$2:$S$548,"44440B2ConvencionalRuralCooperativa de eletrificação ruralNão se aplicaNão se aplicaIntermediário",Mercado_Receita!$L$2:$L$548)+SUMIF(Mercado_Receita!$S$2:$S$548,"44440B2ConvencionalRuralCooperativa de eletrificação ruralNão se aplicaNão se aplicaNão se aplica",Mercado_Receita!$L$2:$L$548)</f>
        <v>0</v>
      </c>
      <c r="J34" s="13">
        <f>SUMIF(Mercado_Receita!$S$2:$S$548,"44470B2ConvencionalRuralCooperativa de eletrificação ruralNão se aplicaNão se aplicaPonta",Mercado_Receita!$L$2:$L$548)+SUMIF(Mercado_Receita!$S$2:$S$548,"44470B2ConvencionalRuralCooperativa de eletrificação ruralNão se aplicaNão se aplicaFora ponta",Mercado_Receita!$L$2:$L$548)+SUMIF(Mercado_Receita!$S$2:$S$548,"44470B2ConvencionalRuralCooperativa de eletrificação ruralNão se aplicaNão se aplicaIntermediário",Mercado_Receita!$L$2:$L$548)+SUMIF(Mercado_Receita!$S$2:$S$548,"44470B2ConvencionalRuralCooperativa de eletrificação ruralNão se aplicaNão se aplicaNão se aplica",Mercado_Receita!$L$2:$L$548)</f>
        <v>0</v>
      </c>
      <c r="K34" s="13">
        <f>SUMIF(Mercado_Receita!$S$2:$S$548,"44501B2ConvencionalRuralCooperativa de eletrificação ruralNão se aplicaNão se aplicaPonta",Mercado_Receita!$L$2:$L$548)+SUMIF(Mercado_Receita!$S$2:$S$548,"44501B2ConvencionalRuralCooperativa de eletrificação ruralNão se aplicaNão se aplicaFora ponta",Mercado_Receita!$L$2:$L$548)+SUMIF(Mercado_Receita!$S$2:$S$548,"44501B2ConvencionalRuralCooperativa de eletrificação ruralNão se aplicaNão se aplicaIntermediário",Mercado_Receita!$L$2:$L$548)+SUMIF(Mercado_Receita!$S$2:$S$548,"44501B2ConvencionalRuralCooperativa de eletrificação ruralNão se aplicaNão se aplicaNão se aplica",Mercado_Receita!$L$2:$L$548)</f>
        <v>0</v>
      </c>
      <c r="L34" s="13">
        <f>SUMIF(Mercado_Receita!$S$2:$S$548,"44531B2ConvencionalRuralCooperativa de eletrificação ruralNão se aplicaNão se aplicaPonta",Mercado_Receita!$L$2:$L$548)+SUMIF(Mercado_Receita!$S$2:$S$548,"44531B2ConvencionalRuralCooperativa de eletrificação ruralNão se aplicaNão se aplicaFora ponta",Mercado_Receita!$L$2:$L$548)+SUMIF(Mercado_Receita!$S$2:$S$548,"44531B2ConvencionalRuralCooperativa de eletrificação ruralNão se aplicaNão se aplicaIntermediário",Mercado_Receita!$L$2:$L$548)+SUMIF(Mercado_Receita!$S$2:$S$548,"44531B2ConvencionalRuralCooperativa de eletrificação ruralNão se aplicaNão se aplicaNão se aplica",Mercado_Receita!$L$2:$L$548)</f>
        <v>0</v>
      </c>
      <c r="M34" s="13">
        <f>SUMIF(Mercado_Receita!$S$2:$S$548,"44562B2ConvencionalRuralCooperativa de eletrificação ruralNão se aplicaNão se aplicaPonta",Mercado_Receita!$L$2:$L$548)+SUMIF(Mercado_Receita!$S$2:$S$548,"44562B2ConvencionalRuralCooperativa de eletrificação ruralNão se aplicaNão se aplicaFora ponta",Mercado_Receita!$L$2:$L$548)+SUMIF(Mercado_Receita!$S$2:$S$548,"44562B2ConvencionalRuralCooperativa de eletrificação ruralNão se aplicaNão se aplicaIntermediário",Mercado_Receita!$L$2:$L$548)+SUMIF(Mercado_Receita!$S$2:$S$548,"44562B2ConvencionalRuralCooperativa de eletrificação ruralNão se aplicaNão se aplicaNão se aplica",Mercado_Receita!$L$2:$L$548)</f>
        <v>0</v>
      </c>
      <c r="N34" s="13">
        <f>SUMIF(Mercado_Receita!$S$2:$S$548,"44593B2ConvencionalRuralCooperativa de eletrificação ruralNão se aplicaNão se aplicaPonta",Mercado_Receita!$L$2:$L$548)+SUMIF(Mercado_Receita!$S$2:$S$548,"44593B2ConvencionalRuralCooperativa de eletrificação ruralNão se aplicaNão se aplicaFora ponta",Mercado_Receita!$L$2:$L$548)+SUMIF(Mercado_Receita!$S$2:$S$548,"44593B2ConvencionalRuralCooperativa de eletrificação ruralNão se aplicaNão se aplicaIntermediário",Mercado_Receita!$L$2:$L$548)+SUMIF(Mercado_Receita!$S$2:$S$548,"44593B2ConvencionalRuralCooperativa de eletrificação ruralNão se aplicaNão se aplicaNão se aplica",Mercado_Receita!$L$2:$L$548)</f>
        <v>0</v>
      </c>
      <c r="O34" s="13">
        <f>SUMIF(Mercado_Receita!$S$2:$S$548,"44621B2ConvencionalRuralCooperativa de eletrificação ruralNão se aplicaNão se aplicaPonta",Mercado_Receita!$L$2:$L$548)+SUMIF(Mercado_Receita!$S$2:$S$548,"44621B2ConvencionalRuralCooperativa de eletrificação ruralNão se aplicaNão se aplicaFora ponta",Mercado_Receita!$L$2:$L$548)+SUMIF(Mercado_Receita!$S$2:$S$548,"44621B2ConvencionalRuralCooperativa de eletrificação ruralNão se aplicaNão se aplicaIntermediário",Mercado_Receita!$L$2:$L$548)+SUMIF(Mercado_Receita!$S$2:$S$548,"44621B2ConvencionalRuralCooperativa de eletrificação ruralNão se aplicaNão se aplicaNão se aplica",Mercado_Receita!$L$2:$L$548)</f>
        <v>0</v>
      </c>
      <c r="P34" s="13">
        <f>SUMIF(Mercado_Receita!$S$2:$S$548,"44652B2ConvencionalRuralCooperativa de eletrificação ruralNão se aplicaNão se aplicaPonta",Mercado_Receita!$L$2:$L$548)+SUMIF(Mercado_Receita!$S$2:$S$548,"44652B2ConvencionalRuralCooperativa de eletrificação ruralNão se aplicaNão se aplicaFora ponta",Mercado_Receita!$L$2:$L$548)+SUMIF(Mercado_Receita!$S$2:$S$548,"44652B2ConvencionalRuralCooperativa de eletrificação ruralNão se aplicaNão se aplicaIntermediário",Mercado_Receita!$L$2:$L$548)+SUMIF(Mercado_Receita!$S$2:$S$548,"44652B2ConvencionalRuralCooperativa de eletrificação ruralNão se aplicaNão se aplicaNão se aplica",Mercado_Receita!$L$2:$L$548)</f>
        <v>0</v>
      </c>
      <c r="Q34" s="13">
        <f>SUMIF(Mercado_Receita!$S$2:$S$548,"44682B2ConvencionalRuralCooperativa de eletrificação ruralNão se aplicaNão se aplicaPonta",Mercado_Receita!$L$2:$L$548)+SUMIF(Mercado_Receita!$S$2:$S$548,"44682B2ConvencionalRuralCooperativa de eletrificação ruralNão se aplicaNão se aplicaFora ponta",Mercado_Receita!$L$2:$L$548)+SUMIF(Mercado_Receita!$S$2:$S$548,"44682B2ConvencionalRuralCooperativa de eletrificação ruralNão se aplicaNão se aplicaIntermediário",Mercado_Receita!$L$2:$L$548)+SUMIF(Mercado_Receita!$S$2:$S$548,"44682B2ConvencionalRuralCooperativa de eletrificação ruralNão se aplicaNão se aplicaNão se aplica",Mercado_Receita!$L$2:$L$548)</f>
        <v>0</v>
      </c>
      <c r="R34" s="13">
        <f>SUMIF(Mercado_Receita!$S$2:$S$548,"44713B2ConvencionalRuralCooperativa de eletrificação ruralNão se aplicaNão se aplicaPonta",Mercado_Receita!$L$2:$L$548)+SUMIF(Mercado_Receita!$S$2:$S$548,"44713B2ConvencionalRuralCooperativa de eletrificação ruralNão se aplicaNão se aplicaFora ponta",Mercado_Receita!$L$2:$L$548)+SUMIF(Mercado_Receita!$S$2:$S$548,"44713B2ConvencionalRuralCooperativa de eletrificação ruralNão se aplicaNão se aplicaIntermediário",Mercado_Receita!$L$2:$L$548)+SUMIF(Mercado_Receita!$S$2:$S$548,"44713B2ConvencionalRuralCooperativa de eletrificação ruralNão se aplicaNão se aplicaNão se aplica",Mercado_Receita!$L$2:$L$548)</f>
        <v>0</v>
      </c>
      <c r="S34" s="13">
        <f>SUMIF(Mercado_Receita!$S$2:$S$548,"44743B2ConvencionalRuralCooperativa de eletrificação ruralNão se aplicaNão se aplicaPonta",Mercado_Receita!$L$2:$L$548)+SUMIF(Mercado_Receita!$S$2:$S$548,"44743B2ConvencionalRuralCooperativa de eletrificação ruralNão se aplicaNão se aplicaFora ponta",Mercado_Receita!$L$2:$L$548)+SUMIF(Mercado_Receita!$S$2:$S$548,"44743B2ConvencionalRuralCooperativa de eletrificação ruralNão se aplicaNão se aplicaIntermediário",Mercado_Receita!$L$2:$L$548)+SUMIF(Mercado_Receita!$S$2:$S$548,"44743B2ConvencionalRuralCooperativa de eletrificação ruralNão se aplicaNão se aplicaNão se aplica",Mercado_Receita!$L$2:$L$548)</f>
        <v>0</v>
      </c>
      <c r="T34" s="13">
        <f>SUMIF(Mercado_Receita!$S$2:$S$548,"44774B2ConvencionalRuralCooperativa de eletrificação ruralNão se aplicaNão se aplicaPonta",Mercado_Receita!$L$2:$L$548)+SUMIF(Mercado_Receita!$S$2:$S$548,"44774B2ConvencionalRuralCooperativa de eletrificação ruralNão se aplicaNão se aplicaFora ponta",Mercado_Receita!$L$2:$L$548)+SUMIF(Mercado_Receita!$S$2:$S$548,"44774B2ConvencionalRuralCooperativa de eletrificação ruralNão se aplicaNão se aplicaIntermediário",Mercado_Receita!$L$2:$L$548)+SUMIF(Mercado_Receita!$S$2:$S$548,"44774B2ConvencionalRuralCooperativa de eletrificação ruralNão se aplicaNão se aplicaNão se aplica",Mercado_Receita!$L$2:$L$548)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7"/>
      <c r="B35" s="76" t="s">
        <v>41</v>
      </c>
      <c r="C35" s="76" t="s">
        <v>44</v>
      </c>
      <c r="D35" s="76" t="s">
        <v>89</v>
      </c>
      <c r="E35" s="76" t="s">
        <v>25</v>
      </c>
      <c r="F35" s="76" t="s">
        <v>25</v>
      </c>
      <c r="G35" s="13" t="s">
        <v>73</v>
      </c>
      <c r="H35" s="13" t="s">
        <v>72</v>
      </c>
      <c r="I35" s="13">
        <f>SUMIF(Mercado_Receita!$S$2:$S$548,"44440B2BrancaRuralServiço público de irrigação ruralNão se aplicaNão se aplicaPonta",Mercado_Receita!$L$2:$L$548)</f>
        <v>0</v>
      </c>
      <c r="J35" s="13">
        <f>SUMIF(Mercado_Receita!$S$2:$S$548,"44470B2BrancaRuralServiço público de irrigação ruralNão se aplicaNão se aplicaPonta",Mercado_Receita!$L$2:$L$548)</f>
        <v>0</v>
      </c>
      <c r="K35" s="13">
        <f>SUMIF(Mercado_Receita!$S$2:$S$548,"44501B2BrancaRuralServiço público de irrigação ruralNão se aplicaNão se aplicaPonta",Mercado_Receita!$L$2:$L$548)</f>
        <v>0</v>
      </c>
      <c r="L35" s="13">
        <f>SUMIF(Mercado_Receita!$S$2:$S$548,"44531B2BrancaRuralServiço público de irrigação ruralNão se aplicaNão se aplicaPonta",Mercado_Receita!$L$2:$L$548)</f>
        <v>0</v>
      </c>
      <c r="M35" s="13">
        <f>SUMIF(Mercado_Receita!$S$2:$S$548,"44562B2BrancaRuralServiço público de irrigação ruralNão se aplicaNão se aplicaPonta",Mercado_Receita!$L$2:$L$548)</f>
        <v>0</v>
      </c>
      <c r="N35" s="13">
        <f>SUMIF(Mercado_Receita!$S$2:$S$548,"44593B2BrancaRuralServiço público de irrigação ruralNão se aplicaNão se aplicaPonta",Mercado_Receita!$L$2:$L$548)</f>
        <v>0</v>
      </c>
      <c r="O35" s="13">
        <f>SUMIF(Mercado_Receita!$S$2:$S$548,"44621B2BrancaRuralServiço público de irrigação ruralNão se aplicaNão se aplicaPonta",Mercado_Receita!$L$2:$L$548)</f>
        <v>0</v>
      </c>
      <c r="P35" s="13">
        <f>SUMIF(Mercado_Receita!$S$2:$S$548,"44652B2BrancaRuralServiço público de irrigação ruralNão se aplicaNão se aplicaPonta",Mercado_Receita!$L$2:$L$548)</f>
        <v>0</v>
      </c>
      <c r="Q35" s="13">
        <f>SUMIF(Mercado_Receita!$S$2:$S$548,"44682B2BrancaRuralServiço público de irrigação ruralNão se aplicaNão se aplicaPonta",Mercado_Receita!$L$2:$L$548)</f>
        <v>0</v>
      </c>
      <c r="R35" s="13">
        <f>SUMIF(Mercado_Receita!$S$2:$S$548,"44713B2BrancaRuralServiço público de irrigação ruralNão se aplicaNão se aplicaPonta",Mercado_Receita!$L$2:$L$548)</f>
        <v>0</v>
      </c>
      <c r="S35" s="13">
        <f>SUMIF(Mercado_Receita!$S$2:$S$548,"44743B2BrancaRuralServiço público de irrigação ruralNão se aplicaNão se aplicaPonta",Mercado_Receita!$L$2:$L$548)</f>
        <v>0</v>
      </c>
      <c r="T35" s="13">
        <f>SUMIF(Mercado_Receita!$S$2:$S$548,"44774B2BrancaRuralServiço público de irrigação ruralNão se aplicaNão se aplicaPonta",Mercado_Receita!$L$2:$L$548)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7"/>
      <c r="B36" s="77"/>
      <c r="C36" s="77"/>
      <c r="D36" s="77"/>
      <c r="E36" s="77"/>
      <c r="F36" s="77"/>
      <c r="G36" s="13" t="s">
        <v>84</v>
      </c>
      <c r="H36" s="13" t="s">
        <v>72</v>
      </c>
      <c r="I36" s="13">
        <f>SUMIF(Mercado_Receita!$S$2:$S$548,"44440B2BrancaRuralServiço público de irrigação ruralNão se aplicaNão se aplicaIntermediário",Mercado_Receita!$L$2:$L$548)</f>
        <v>0</v>
      </c>
      <c r="J36" s="13">
        <f>SUMIF(Mercado_Receita!$S$2:$S$548,"44470B2BrancaRuralServiço público de irrigação ruralNão se aplicaNão se aplicaIntermediário",Mercado_Receita!$L$2:$L$548)</f>
        <v>0</v>
      </c>
      <c r="K36" s="13">
        <f>SUMIF(Mercado_Receita!$S$2:$S$548,"44501B2BrancaRuralServiço público de irrigação ruralNão se aplicaNão se aplicaIntermediário",Mercado_Receita!$L$2:$L$548)</f>
        <v>0</v>
      </c>
      <c r="L36" s="13">
        <f>SUMIF(Mercado_Receita!$S$2:$S$548,"44531B2BrancaRuralServiço público de irrigação ruralNão se aplicaNão se aplicaIntermediário",Mercado_Receita!$L$2:$L$548)</f>
        <v>0</v>
      </c>
      <c r="M36" s="13">
        <f>SUMIF(Mercado_Receita!$S$2:$S$548,"44562B2BrancaRuralServiço público de irrigação ruralNão se aplicaNão se aplicaIntermediário",Mercado_Receita!$L$2:$L$548)</f>
        <v>0</v>
      </c>
      <c r="N36" s="13">
        <f>SUMIF(Mercado_Receita!$S$2:$S$548,"44593B2BrancaRuralServiço público de irrigação ruralNão se aplicaNão se aplicaIntermediário",Mercado_Receita!$L$2:$L$548)</f>
        <v>0</v>
      </c>
      <c r="O36" s="13">
        <f>SUMIF(Mercado_Receita!$S$2:$S$548,"44621B2BrancaRuralServiço público de irrigação ruralNão se aplicaNão se aplicaIntermediário",Mercado_Receita!$L$2:$L$548)</f>
        <v>0</v>
      </c>
      <c r="P36" s="13">
        <f>SUMIF(Mercado_Receita!$S$2:$S$548,"44652B2BrancaRuralServiço público de irrigação ruralNão se aplicaNão se aplicaIntermediário",Mercado_Receita!$L$2:$L$548)</f>
        <v>0</v>
      </c>
      <c r="Q36" s="13">
        <f>SUMIF(Mercado_Receita!$S$2:$S$548,"44682B2BrancaRuralServiço público de irrigação ruralNão se aplicaNão se aplicaIntermediário",Mercado_Receita!$L$2:$L$548)</f>
        <v>0</v>
      </c>
      <c r="R36" s="13">
        <f>SUMIF(Mercado_Receita!$S$2:$S$548,"44713B2BrancaRuralServiço público de irrigação ruralNão se aplicaNão se aplicaIntermediário",Mercado_Receita!$L$2:$L$548)</f>
        <v>0</v>
      </c>
      <c r="S36" s="13">
        <f>SUMIF(Mercado_Receita!$S$2:$S$548,"44743B2BrancaRuralServiço público de irrigação ruralNão se aplicaNão se aplicaIntermediário",Mercado_Receita!$L$2:$L$548)</f>
        <v>0</v>
      </c>
      <c r="T36" s="13">
        <f>SUMIF(Mercado_Receita!$S$2:$S$548,"44774B2BrancaRuralServiço público de irrigação ruralNão se aplicaNão se aplicaIntermediário",Mercado_Receita!$L$2:$L$548)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/>
      <c r="B37" s="77"/>
      <c r="C37" s="77"/>
      <c r="D37" s="77"/>
      <c r="E37" s="77"/>
      <c r="F37" s="77"/>
      <c r="G37" s="13" t="s">
        <v>74</v>
      </c>
      <c r="H37" s="13" t="s">
        <v>72</v>
      </c>
      <c r="I37" s="13">
        <f>SUMIF(Mercado_Receita!$S$2:$S$548,"44440B2BrancaRuralServiço público de irrigação ruralNão se aplicaNão se aplicaFora ponta",Mercado_Receita!$L$2:$L$548)</f>
        <v>0</v>
      </c>
      <c r="J37" s="13">
        <f>SUMIF(Mercado_Receita!$S$2:$S$548,"44470B2BrancaRuralServiço público de irrigação ruralNão se aplicaNão se aplicaFora ponta",Mercado_Receita!$L$2:$L$548)</f>
        <v>0</v>
      </c>
      <c r="K37" s="13">
        <f>SUMIF(Mercado_Receita!$S$2:$S$548,"44501B2BrancaRuralServiço público de irrigação ruralNão se aplicaNão se aplicaFora ponta",Mercado_Receita!$L$2:$L$548)</f>
        <v>0</v>
      </c>
      <c r="L37" s="13">
        <f>SUMIF(Mercado_Receita!$S$2:$S$548,"44531B2BrancaRuralServiço público de irrigação ruralNão se aplicaNão se aplicaFora ponta",Mercado_Receita!$L$2:$L$548)</f>
        <v>0</v>
      </c>
      <c r="M37" s="13">
        <f>SUMIF(Mercado_Receita!$S$2:$S$548,"44562B2BrancaRuralServiço público de irrigação ruralNão se aplicaNão se aplicaFora ponta",Mercado_Receita!$L$2:$L$548)</f>
        <v>0</v>
      </c>
      <c r="N37" s="13">
        <f>SUMIF(Mercado_Receita!$S$2:$S$548,"44593B2BrancaRuralServiço público de irrigação ruralNão se aplicaNão se aplicaFora ponta",Mercado_Receita!$L$2:$L$548)</f>
        <v>0</v>
      </c>
      <c r="O37" s="13">
        <f>SUMIF(Mercado_Receita!$S$2:$S$548,"44621B2BrancaRuralServiço público de irrigação ruralNão se aplicaNão se aplicaFora ponta",Mercado_Receita!$L$2:$L$548)</f>
        <v>0</v>
      </c>
      <c r="P37" s="13">
        <f>SUMIF(Mercado_Receita!$S$2:$S$548,"44652B2BrancaRuralServiço público de irrigação ruralNão se aplicaNão se aplicaFora ponta",Mercado_Receita!$L$2:$L$548)</f>
        <v>0</v>
      </c>
      <c r="Q37" s="13">
        <f>SUMIF(Mercado_Receita!$S$2:$S$548,"44682B2BrancaRuralServiço público de irrigação ruralNão se aplicaNão se aplicaFora ponta",Mercado_Receita!$L$2:$L$548)</f>
        <v>0</v>
      </c>
      <c r="R37" s="13">
        <f>SUMIF(Mercado_Receita!$S$2:$S$548,"44713B2BrancaRuralServiço público de irrigação ruralNão se aplicaNão se aplicaFora ponta",Mercado_Receita!$L$2:$L$548)</f>
        <v>0</v>
      </c>
      <c r="S37" s="13">
        <f>SUMIF(Mercado_Receita!$S$2:$S$548,"44743B2BrancaRuralServiço público de irrigação ruralNão se aplicaNão se aplicaFora ponta",Mercado_Receita!$L$2:$L$548)</f>
        <v>0</v>
      </c>
      <c r="T37" s="13">
        <f>SUMIF(Mercado_Receita!$S$2:$S$548,"44774B2BrancaRuralServiço público de irrigação ruralNão se aplicaNão se aplicaFora ponta",Mercado_Receita!$L$2:$L$548)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7"/>
      <c r="B38" s="12" t="s">
        <v>23</v>
      </c>
      <c r="C38" s="12" t="s">
        <v>44</v>
      </c>
      <c r="D38" s="12" t="s">
        <v>89</v>
      </c>
      <c r="E38" s="12" t="s">
        <v>25</v>
      </c>
      <c r="F38" s="12" t="s">
        <v>25</v>
      </c>
      <c r="G38" s="13" t="s">
        <v>78</v>
      </c>
      <c r="H38" s="13" t="s">
        <v>72</v>
      </c>
      <c r="I38" s="13">
        <f>SUMIF(Mercado_Receita!$S$2:$S$548,"44440B2ConvencionalRuralServiço público de irrigação ruralNão se aplicaNão se aplicaPonta",Mercado_Receita!$L$2:$L$548)+SUMIF(Mercado_Receita!$S$2:$S$548,"44440B2ConvencionalRuralServiço público de irrigação ruralNão se aplicaNão se aplicaFora ponta",Mercado_Receita!$L$2:$L$548)+SUMIF(Mercado_Receita!$S$2:$S$548,"44440B2ConvencionalRuralServiço público de irrigação ruralNão se aplicaNão se aplicaIntermediário",Mercado_Receita!$L$2:$L$548)+SUMIF(Mercado_Receita!$S$2:$S$548,"44440B2ConvencionalRuralServiço público de irrigação ruralNão se aplicaNão se aplicaNão se aplica",Mercado_Receita!$L$2:$L$548)</f>
        <v>0</v>
      </c>
      <c r="J38" s="13">
        <f>SUMIF(Mercado_Receita!$S$2:$S$548,"44470B2ConvencionalRuralServiço público de irrigação ruralNão se aplicaNão se aplicaPonta",Mercado_Receita!$L$2:$L$548)+SUMIF(Mercado_Receita!$S$2:$S$548,"44470B2ConvencionalRuralServiço público de irrigação ruralNão se aplicaNão se aplicaFora ponta",Mercado_Receita!$L$2:$L$548)+SUMIF(Mercado_Receita!$S$2:$S$548,"44470B2ConvencionalRuralServiço público de irrigação ruralNão se aplicaNão se aplicaIntermediário",Mercado_Receita!$L$2:$L$548)+SUMIF(Mercado_Receita!$S$2:$S$548,"44470B2ConvencionalRuralServiço público de irrigação ruralNão se aplicaNão se aplicaNão se aplica",Mercado_Receita!$L$2:$L$548)</f>
        <v>0</v>
      </c>
      <c r="K38" s="13">
        <f>SUMIF(Mercado_Receita!$S$2:$S$548,"44501B2ConvencionalRuralServiço público de irrigação ruralNão se aplicaNão se aplicaPonta",Mercado_Receita!$L$2:$L$548)+SUMIF(Mercado_Receita!$S$2:$S$548,"44501B2ConvencionalRuralServiço público de irrigação ruralNão se aplicaNão se aplicaFora ponta",Mercado_Receita!$L$2:$L$548)+SUMIF(Mercado_Receita!$S$2:$S$548,"44501B2ConvencionalRuralServiço público de irrigação ruralNão se aplicaNão se aplicaIntermediário",Mercado_Receita!$L$2:$L$548)+SUMIF(Mercado_Receita!$S$2:$S$548,"44501B2ConvencionalRuralServiço público de irrigação ruralNão se aplicaNão se aplicaNão se aplica",Mercado_Receita!$L$2:$L$548)</f>
        <v>0</v>
      </c>
      <c r="L38" s="13">
        <f>SUMIF(Mercado_Receita!$S$2:$S$548,"44531B2ConvencionalRuralServiço público de irrigação ruralNão se aplicaNão se aplicaPonta",Mercado_Receita!$L$2:$L$548)+SUMIF(Mercado_Receita!$S$2:$S$548,"44531B2ConvencionalRuralServiço público de irrigação ruralNão se aplicaNão se aplicaFora ponta",Mercado_Receita!$L$2:$L$548)+SUMIF(Mercado_Receita!$S$2:$S$548,"44531B2ConvencionalRuralServiço público de irrigação ruralNão se aplicaNão se aplicaIntermediário",Mercado_Receita!$L$2:$L$548)+SUMIF(Mercado_Receita!$S$2:$S$548,"44531B2ConvencionalRuralServiço público de irrigação ruralNão se aplicaNão se aplicaNão se aplica",Mercado_Receita!$L$2:$L$548)</f>
        <v>0</v>
      </c>
      <c r="M38" s="13">
        <f>SUMIF(Mercado_Receita!$S$2:$S$548,"44562B2ConvencionalRuralServiço público de irrigação ruralNão se aplicaNão se aplicaPonta",Mercado_Receita!$L$2:$L$548)+SUMIF(Mercado_Receita!$S$2:$S$548,"44562B2ConvencionalRuralServiço público de irrigação ruralNão se aplicaNão se aplicaFora ponta",Mercado_Receita!$L$2:$L$548)+SUMIF(Mercado_Receita!$S$2:$S$548,"44562B2ConvencionalRuralServiço público de irrigação ruralNão se aplicaNão se aplicaIntermediário",Mercado_Receita!$L$2:$L$548)+SUMIF(Mercado_Receita!$S$2:$S$548,"44562B2ConvencionalRuralServiço público de irrigação ruralNão se aplicaNão se aplicaNão se aplica",Mercado_Receita!$L$2:$L$548)</f>
        <v>0</v>
      </c>
      <c r="N38" s="13">
        <f>SUMIF(Mercado_Receita!$S$2:$S$548,"44593B2ConvencionalRuralServiço público de irrigação ruralNão se aplicaNão se aplicaPonta",Mercado_Receita!$L$2:$L$548)+SUMIF(Mercado_Receita!$S$2:$S$548,"44593B2ConvencionalRuralServiço público de irrigação ruralNão se aplicaNão se aplicaFora ponta",Mercado_Receita!$L$2:$L$548)+SUMIF(Mercado_Receita!$S$2:$S$548,"44593B2ConvencionalRuralServiço público de irrigação ruralNão se aplicaNão se aplicaIntermediário",Mercado_Receita!$L$2:$L$548)+SUMIF(Mercado_Receita!$S$2:$S$548,"44593B2ConvencionalRuralServiço público de irrigação ruralNão se aplicaNão se aplicaNão se aplica",Mercado_Receita!$L$2:$L$548)</f>
        <v>0</v>
      </c>
      <c r="O38" s="13">
        <f>SUMIF(Mercado_Receita!$S$2:$S$548,"44621B2ConvencionalRuralServiço público de irrigação ruralNão se aplicaNão se aplicaPonta",Mercado_Receita!$L$2:$L$548)+SUMIF(Mercado_Receita!$S$2:$S$548,"44621B2ConvencionalRuralServiço público de irrigação ruralNão se aplicaNão se aplicaFora ponta",Mercado_Receita!$L$2:$L$548)+SUMIF(Mercado_Receita!$S$2:$S$548,"44621B2ConvencionalRuralServiço público de irrigação ruralNão se aplicaNão se aplicaIntermediário",Mercado_Receita!$L$2:$L$548)+SUMIF(Mercado_Receita!$S$2:$S$548,"44621B2ConvencionalRuralServiço público de irrigação ruralNão se aplicaNão se aplicaNão se aplica",Mercado_Receita!$L$2:$L$548)</f>
        <v>0</v>
      </c>
      <c r="P38" s="13">
        <f>SUMIF(Mercado_Receita!$S$2:$S$548,"44652B2ConvencionalRuralServiço público de irrigação ruralNão se aplicaNão se aplicaPonta",Mercado_Receita!$L$2:$L$548)+SUMIF(Mercado_Receita!$S$2:$S$548,"44652B2ConvencionalRuralServiço público de irrigação ruralNão se aplicaNão se aplicaFora ponta",Mercado_Receita!$L$2:$L$548)+SUMIF(Mercado_Receita!$S$2:$S$548,"44652B2ConvencionalRuralServiço público de irrigação ruralNão se aplicaNão se aplicaIntermediário",Mercado_Receita!$L$2:$L$548)+SUMIF(Mercado_Receita!$S$2:$S$548,"44652B2ConvencionalRuralServiço público de irrigação ruralNão se aplicaNão se aplicaNão se aplica",Mercado_Receita!$L$2:$L$548)</f>
        <v>0</v>
      </c>
      <c r="Q38" s="13">
        <f>SUMIF(Mercado_Receita!$S$2:$S$548,"44682B2ConvencionalRuralServiço público de irrigação ruralNão se aplicaNão se aplicaPonta",Mercado_Receita!$L$2:$L$548)+SUMIF(Mercado_Receita!$S$2:$S$548,"44682B2ConvencionalRuralServiço público de irrigação ruralNão se aplicaNão se aplicaFora ponta",Mercado_Receita!$L$2:$L$548)+SUMIF(Mercado_Receita!$S$2:$S$548,"44682B2ConvencionalRuralServiço público de irrigação ruralNão se aplicaNão se aplicaIntermediário",Mercado_Receita!$L$2:$L$548)+SUMIF(Mercado_Receita!$S$2:$S$548,"44682B2ConvencionalRuralServiço público de irrigação ruralNão se aplicaNão se aplicaNão se aplica",Mercado_Receita!$L$2:$L$548)</f>
        <v>0</v>
      </c>
      <c r="R38" s="13">
        <f>SUMIF(Mercado_Receita!$S$2:$S$548,"44713B2ConvencionalRuralServiço público de irrigação ruralNão se aplicaNão se aplicaPonta",Mercado_Receita!$L$2:$L$548)+SUMIF(Mercado_Receita!$S$2:$S$548,"44713B2ConvencionalRuralServiço público de irrigação ruralNão se aplicaNão se aplicaFora ponta",Mercado_Receita!$L$2:$L$548)+SUMIF(Mercado_Receita!$S$2:$S$548,"44713B2ConvencionalRuralServiço público de irrigação ruralNão se aplicaNão se aplicaIntermediário",Mercado_Receita!$L$2:$L$548)+SUMIF(Mercado_Receita!$S$2:$S$548,"44713B2ConvencionalRuralServiço público de irrigação ruralNão se aplicaNão se aplicaNão se aplica",Mercado_Receita!$L$2:$L$548)</f>
        <v>0</v>
      </c>
      <c r="S38" s="13">
        <f>SUMIF(Mercado_Receita!$S$2:$S$548,"44743B2ConvencionalRuralServiço público de irrigação ruralNão se aplicaNão se aplicaPonta",Mercado_Receita!$L$2:$L$548)+SUMIF(Mercado_Receita!$S$2:$S$548,"44743B2ConvencionalRuralServiço público de irrigação ruralNão se aplicaNão se aplicaFora ponta",Mercado_Receita!$L$2:$L$548)+SUMIF(Mercado_Receita!$S$2:$S$548,"44743B2ConvencionalRuralServiço público de irrigação ruralNão se aplicaNão se aplicaIntermediário",Mercado_Receita!$L$2:$L$548)+SUMIF(Mercado_Receita!$S$2:$S$548,"44743B2ConvencionalRuralServiço público de irrigação ruralNão se aplicaNão se aplicaNão se aplica",Mercado_Receita!$L$2:$L$548)</f>
        <v>0</v>
      </c>
      <c r="T38" s="13">
        <f>SUMIF(Mercado_Receita!$S$2:$S$548,"44774B2ConvencionalRuralServiço público de irrigação ruralNão se aplicaNão se aplicaPonta",Mercado_Receita!$L$2:$L$548)+SUMIF(Mercado_Receita!$S$2:$S$548,"44774B2ConvencionalRuralServiço público de irrigação ruralNão se aplicaNão se aplicaFora ponta",Mercado_Receita!$L$2:$L$548)+SUMIF(Mercado_Receita!$S$2:$S$548,"44774B2ConvencionalRuralServiço público de irrigação ruralNão se aplicaNão se aplicaIntermediário",Mercado_Receita!$L$2:$L$548)+SUMIF(Mercado_Receita!$S$2:$S$548,"44774B2ConvencionalRuralServiço público de irrigação ruralNão se aplicaNão se aplicaNão se aplica",Mercado_Receita!$L$2:$L$548)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7"/>
      <c r="B39" s="76" t="s">
        <v>87</v>
      </c>
      <c r="C39" s="76" t="s">
        <v>44</v>
      </c>
      <c r="D39" s="12" t="s">
        <v>25</v>
      </c>
      <c r="E39" s="12" t="s">
        <v>25</v>
      </c>
      <c r="F39" s="12" t="s">
        <v>25</v>
      </c>
      <c r="G39" s="13" t="s">
        <v>78</v>
      </c>
      <c r="H39" s="13" t="s">
        <v>72</v>
      </c>
      <c r="I39" s="13">
        <f>SUMIF(Mercado_Receita!$S$2:$S$548,"44440B2Convencional pré-pagamentoRuralNão se aplicaNão se aplicaNão se aplicaPonta",Mercado_Receita!$L$2:$L$548)+SUMIF(Mercado_Receita!$S$2:$S$548,"44440B2Convencional pré-pagamentoRuralNão se aplicaNão se aplicaNão se aplicaFora ponta",Mercado_Receita!$L$2:$L$548)+SUMIF(Mercado_Receita!$S$2:$S$548,"44440B2Convencional pré-pagamentoRuralNão se aplicaNão se aplicaNão se aplicaIntermediário",Mercado_Receita!$L$2:$L$548)+SUMIF(Mercado_Receita!$S$2:$S$548,"44440B2Convencional pré-pagamentoRuralNão se aplicaNão se aplicaNão se aplicaNão se aplica",Mercado_Receita!$L$2:$L$548)</f>
        <v>0</v>
      </c>
      <c r="J39" s="13">
        <f>SUMIF(Mercado_Receita!$S$2:$S$548,"44470B2Convencional pré-pagamentoRuralNão se aplicaNão se aplicaNão se aplicaPonta",Mercado_Receita!$L$2:$L$548)+SUMIF(Mercado_Receita!$S$2:$S$548,"44470B2Convencional pré-pagamentoRuralNão se aplicaNão se aplicaNão se aplicaFora ponta",Mercado_Receita!$L$2:$L$548)+SUMIF(Mercado_Receita!$S$2:$S$548,"44470B2Convencional pré-pagamentoRuralNão se aplicaNão se aplicaNão se aplicaIntermediário",Mercado_Receita!$L$2:$L$548)+SUMIF(Mercado_Receita!$S$2:$S$548,"44470B2Convencional pré-pagamentoRuralNão se aplicaNão se aplicaNão se aplicaNão se aplica",Mercado_Receita!$L$2:$L$548)</f>
        <v>0</v>
      </c>
      <c r="K39" s="13">
        <f>SUMIF(Mercado_Receita!$S$2:$S$548,"44501B2Convencional pré-pagamentoRuralNão se aplicaNão se aplicaNão se aplicaPonta",Mercado_Receita!$L$2:$L$548)+SUMIF(Mercado_Receita!$S$2:$S$548,"44501B2Convencional pré-pagamentoRuralNão se aplicaNão se aplicaNão se aplicaFora ponta",Mercado_Receita!$L$2:$L$548)+SUMIF(Mercado_Receita!$S$2:$S$548,"44501B2Convencional pré-pagamentoRuralNão se aplicaNão se aplicaNão se aplicaIntermediário",Mercado_Receita!$L$2:$L$548)+SUMIF(Mercado_Receita!$S$2:$S$548,"44501B2Convencional pré-pagamentoRuralNão se aplicaNão se aplicaNão se aplicaNão se aplica",Mercado_Receita!$L$2:$L$548)</f>
        <v>0</v>
      </c>
      <c r="L39" s="13">
        <f>SUMIF(Mercado_Receita!$S$2:$S$548,"44531B2Convencional pré-pagamentoRuralNão se aplicaNão se aplicaNão se aplicaPonta",Mercado_Receita!$L$2:$L$548)+SUMIF(Mercado_Receita!$S$2:$S$548,"44531B2Convencional pré-pagamentoRuralNão se aplicaNão se aplicaNão se aplicaFora ponta",Mercado_Receita!$L$2:$L$548)+SUMIF(Mercado_Receita!$S$2:$S$548,"44531B2Convencional pré-pagamentoRuralNão se aplicaNão se aplicaNão se aplicaIntermediário",Mercado_Receita!$L$2:$L$548)+SUMIF(Mercado_Receita!$S$2:$S$548,"44531B2Convencional pré-pagamentoRuralNão se aplicaNão se aplicaNão se aplicaNão se aplica",Mercado_Receita!$L$2:$L$548)</f>
        <v>0</v>
      </c>
      <c r="M39" s="13">
        <f>SUMIF(Mercado_Receita!$S$2:$S$548,"44562B2Convencional pré-pagamentoRuralNão se aplicaNão se aplicaNão se aplicaPonta",Mercado_Receita!$L$2:$L$548)+SUMIF(Mercado_Receita!$S$2:$S$548,"44562B2Convencional pré-pagamentoRuralNão se aplicaNão se aplicaNão se aplicaFora ponta",Mercado_Receita!$L$2:$L$548)+SUMIF(Mercado_Receita!$S$2:$S$548,"44562B2Convencional pré-pagamentoRuralNão se aplicaNão se aplicaNão se aplicaIntermediário",Mercado_Receita!$L$2:$L$548)+SUMIF(Mercado_Receita!$S$2:$S$548,"44562B2Convencional pré-pagamentoRuralNão se aplicaNão se aplicaNão se aplicaNão se aplica",Mercado_Receita!$L$2:$L$548)</f>
        <v>0</v>
      </c>
      <c r="N39" s="13">
        <f>SUMIF(Mercado_Receita!$S$2:$S$548,"44593B2Convencional pré-pagamentoRuralNão se aplicaNão se aplicaNão se aplicaPonta",Mercado_Receita!$L$2:$L$548)+SUMIF(Mercado_Receita!$S$2:$S$548,"44593B2Convencional pré-pagamentoRuralNão se aplicaNão se aplicaNão se aplicaFora ponta",Mercado_Receita!$L$2:$L$548)+SUMIF(Mercado_Receita!$S$2:$S$548,"44593B2Convencional pré-pagamentoRuralNão se aplicaNão se aplicaNão se aplicaIntermediário",Mercado_Receita!$L$2:$L$548)+SUMIF(Mercado_Receita!$S$2:$S$548,"44593B2Convencional pré-pagamentoRuralNão se aplicaNão se aplicaNão se aplicaNão se aplica",Mercado_Receita!$L$2:$L$548)</f>
        <v>0</v>
      </c>
      <c r="O39" s="13">
        <f>SUMIF(Mercado_Receita!$S$2:$S$548,"44621B2Convencional pré-pagamentoRuralNão se aplicaNão se aplicaNão se aplicaPonta",Mercado_Receita!$L$2:$L$548)+SUMIF(Mercado_Receita!$S$2:$S$548,"44621B2Convencional pré-pagamentoRuralNão se aplicaNão se aplicaNão se aplicaFora ponta",Mercado_Receita!$L$2:$L$548)+SUMIF(Mercado_Receita!$S$2:$S$548,"44621B2Convencional pré-pagamentoRuralNão se aplicaNão se aplicaNão se aplicaIntermediário",Mercado_Receita!$L$2:$L$548)+SUMIF(Mercado_Receita!$S$2:$S$548,"44621B2Convencional pré-pagamentoRuralNão se aplicaNão se aplicaNão se aplicaNão se aplica",Mercado_Receita!$L$2:$L$548)</f>
        <v>0</v>
      </c>
      <c r="P39" s="13">
        <f>SUMIF(Mercado_Receita!$S$2:$S$548,"44652B2Convencional pré-pagamentoRuralNão se aplicaNão se aplicaNão se aplicaPonta",Mercado_Receita!$L$2:$L$548)+SUMIF(Mercado_Receita!$S$2:$S$548,"44652B2Convencional pré-pagamentoRuralNão se aplicaNão se aplicaNão se aplicaFora ponta",Mercado_Receita!$L$2:$L$548)+SUMIF(Mercado_Receita!$S$2:$S$548,"44652B2Convencional pré-pagamentoRuralNão se aplicaNão se aplicaNão se aplicaIntermediário",Mercado_Receita!$L$2:$L$548)+SUMIF(Mercado_Receita!$S$2:$S$548,"44652B2Convencional pré-pagamentoRuralNão se aplicaNão se aplicaNão se aplicaNão se aplica",Mercado_Receita!$L$2:$L$548)</f>
        <v>0</v>
      </c>
      <c r="Q39" s="13">
        <f>SUMIF(Mercado_Receita!$S$2:$S$548,"44682B2Convencional pré-pagamentoRuralNão se aplicaNão se aplicaNão se aplicaPonta",Mercado_Receita!$L$2:$L$548)+SUMIF(Mercado_Receita!$S$2:$S$548,"44682B2Convencional pré-pagamentoRuralNão se aplicaNão se aplicaNão se aplicaFora ponta",Mercado_Receita!$L$2:$L$548)+SUMIF(Mercado_Receita!$S$2:$S$548,"44682B2Convencional pré-pagamentoRuralNão se aplicaNão se aplicaNão se aplicaIntermediário",Mercado_Receita!$L$2:$L$548)+SUMIF(Mercado_Receita!$S$2:$S$548,"44682B2Convencional pré-pagamentoRuralNão se aplicaNão se aplicaNão se aplicaNão se aplica",Mercado_Receita!$L$2:$L$548)</f>
        <v>0</v>
      </c>
      <c r="R39" s="13">
        <f>SUMIF(Mercado_Receita!$S$2:$S$548,"44713B2Convencional pré-pagamentoRuralNão se aplicaNão se aplicaNão se aplicaPonta",Mercado_Receita!$L$2:$L$548)+SUMIF(Mercado_Receita!$S$2:$S$548,"44713B2Convencional pré-pagamentoRuralNão se aplicaNão se aplicaNão se aplicaFora ponta",Mercado_Receita!$L$2:$L$548)+SUMIF(Mercado_Receita!$S$2:$S$548,"44713B2Convencional pré-pagamentoRuralNão se aplicaNão se aplicaNão se aplicaIntermediário",Mercado_Receita!$L$2:$L$548)+SUMIF(Mercado_Receita!$S$2:$S$548,"44713B2Convencional pré-pagamentoRuralNão se aplicaNão se aplicaNão se aplicaNão se aplica",Mercado_Receita!$L$2:$L$548)</f>
        <v>0</v>
      </c>
      <c r="S39" s="13">
        <f>SUMIF(Mercado_Receita!$S$2:$S$548,"44743B2Convencional pré-pagamentoRuralNão se aplicaNão se aplicaNão se aplicaPonta",Mercado_Receita!$L$2:$L$548)+SUMIF(Mercado_Receita!$S$2:$S$548,"44743B2Convencional pré-pagamentoRuralNão se aplicaNão se aplicaNão se aplicaFora ponta",Mercado_Receita!$L$2:$L$548)+SUMIF(Mercado_Receita!$S$2:$S$548,"44743B2Convencional pré-pagamentoRuralNão se aplicaNão se aplicaNão se aplicaIntermediário",Mercado_Receita!$L$2:$L$548)+SUMIF(Mercado_Receita!$S$2:$S$548,"44743B2Convencional pré-pagamentoRuralNão se aplicaNão se aplicaNão se aplicaNão se aplica",Mercado_Receita!$L$2:$L$548)</f>
        <v>0</v>
      </c>
      <c r="T39" s="13">
        <f>SUMIF(Mercado_Receita!$S$2:$S$548,"44774B2Convencional pré-pagamentoRuralNão se aplicaNão se aplicaNão se aplicaPonta",Mercado_Receita!$L$2:$L$548)+SUMIF(Mercado_Receita!$S$2:$S$548,"44774B2Convencional pré-pagamentoRuralNão se aplicaNão se aplicaNão se aplicaFora ponta",Mercado_Receita!$L$2:$L$548)+SUMIF(Mercado_Receita!$S$2:$S$548,"44774B2Convencional pré-pagamentoRuralNão se aplicaNão se aplicaNão se aplicaIntermediário",Mercado_Receita!$L$2:$L$548)+SUMIF(Mercado_Receita!$S$2:$S$548,"44774B2Convencional pré-pagamentoRuralNão se aplicaNão se aplicaNão se aplicaNão se aplica",Mercado_Receita!$L$2:$L$548)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7"/>
      <c r="B40" s="77"/>
      <c r="C40" s="77"/>
      <c r="D40" s="12" t="s">
        <v>88</v>
      </c>
      <c r="E40" s="12" t="s">
        <v>25</v>
      </c>
      <c r="F40" s="12" t="s">
        <v>25</v>
      </c>
      <c r="G40" s="13" t="s">
        <v>78</v>
      </c>
      <c r="H40" s="13" t="s">
        <v>72</v>
      </c>
      <c r="I40" s="13">
        <f>SUMIF(Mercado_Receita!$S$2:$S$548,"44440B2Convencional pré-pagamentoRuralCooperativa de eletrificação ruralNão se aplicaNão se aplicaPonta",Mercado_Receita!$L$2:$L$548)+SUMIF(Mercado_Receita!$S$2:$S$548,"44440B2Convencional pré-pagamentoRuralCooperativa de eletrificação ruralNão se aplicaNão se aplicaFora ponta",Mercado_Receita!$L$2:$L$548)+SUMIF(Mercado_Receita!$S$2:$S$548,"44440B2Convencional pré-pagamentoRuralCooperativa de eletrificação ruralNão se aplicaNão se aplicaIntermediário",Mercado_Receita!$L$2:$L$548)+SUMIF(Mercado_Receita!$S$2:$S$548,"44440B2Convencional pré-pagamentoRuralCooperativa de eletrificação ruralNão se aplicaNão se aplicaNão se aplica",Mercado_Receita!$L$2:$L$548)</f>
        <v>0</v>
      </c>
      <c r="J40" s="13">
        <f>SUMIF(Mercado_Receita!$S$2:$S$548,"44470B2Convencional pré-pagamentoRuralCooperativa de eletrificação ruralNão se aplicaNão se aplicaPonta",Mercado_Receita!$L$2:$L$548)+SUMIF(Mercado_Receita!$S$2:$S$548,"44470B2Convencional pré-pagamentoRuralCooperativa de eletrificação ruralNão se aplicaNão se aplicaFora ponta",Mercado_Receita!$L$2:$L$548)+SUMIF(Mercado_Receita!$S$2:$S$548,"44470B2Convencional pré-pagamentoRuralCooperativa de eletrificação ruralNão se aplicaNão se aplicaIntermediário",Mercado_Receita!$L$2:$L$548)+SUMIF(Mercado_Receita!$S$2:$S$548,"44470B2Convencional pré-pagamentoRuralCooperativa de eletrificação ruralNão se aplicaNão se aplicaNão se aplica",Mercado_Receita!$L$2:$L$548)</f>
        <v>0</v>
      </c>
      <c r="K40" s="13">
        <f>SUMIF(Mercado_Receita!$S$2:$S$548,"44501B2Convencional pré-pagamentoRuralCooperativa de eletrificação ruralNão se aplicaNão se aplicaPonta",Mercado_Receita!$L$2:$L$548)+SUMIF(Mercado_Receita!$S$2:$S$548,"44501B2Convencional pré-pagamentoRuralCooperativa de eletrificação ruralNão se aplicaNão se aplicaFora ponta",Mercado_Receita!$L$2:$L$548)+SUMIF(Mercado_Receita!$S$2:$S$548,"44501B2Convencional pré-pagamentoRuralCooperativa de eletrificação ruralNão se aplicaNão se aplicaIntermediário",Mercado_Receita!$L$2:$L$548)+SUMIF(Mercado_Receita!$S$2:$S$548,"44501B2Convencional pré-pagamentoRuralCooperativa de eletrificação ruralNão se aplicaNão se aplicaNão se aplica",Mercado_Receita!$L$2:$L$548)</f>
        <v>0</v>
      </c>
      <c r="L40" s="13">
        <f>SUMIF(Mercado_Receita!$S$2:$S$548,"44531B2Convencional pré-pagamentoRuralCooperativa de eletrificação ruralNão se aplicaNão se aplicaPonta",Mercado_Receita!$L$2:$L$548)+SUMIF(Mercado_Receita!$S$2:$S$548,"44531B2Convencional pré-pagamentoRuralCooperativa de eletrificação ruralNão se aplicaNão se aplicaFora ponta",Mercado_Receita!$L$2:$L$548)+SUMIF(Mercado_Receita!$S$2:$S$548,"44531B2Convencional pré-pagamentoRuralCooperativa de eletrificação ruralNão se aplicaNão se aplicaIntermediário",Mercado_Receita!$L$2:$L$548)+SUMIF(Mercado_Receita!$S$2:$S$548,"44531B2Convencional pré-pagamentoRuralCooperativa de eletrificação ruralNão se aplicaNão se aplicaNão se aplica",Mercado_Receita!$L$2:$L$548)</f>
        <v>0</v>
      </c>
      <c r="M40" s="13">
        <f>SUMIF(Mercado_Receita!$S$2:$S$548,"44562B2Convencional pré-pagamentoRuralCooperativa de eletrificação ruralNão se aplicaNão se aplicaPonta",Mercado_Receita!$L$2:$L$548)+SUMIF(Mercado_Receita!$S$2:$S$548,"44562B2Convencional pré-pagamentoRuralCooperativa de eletrificação ruralNão se aplicaNão se aplicaFora ponta",Mercado_Receita!$L$2:$L$548)+SUMIF(Mercado_Receita!$S$2:$S$548,"44562B2Convencional pré-pagamentoRuralCooperativa de eletrificação ruralNão se aplicaNão se aplicaIntermediário",Mercado_Receita!$L$2:$L$548)+SUMIF(Mercado_Receita!$S$2:$S$548,"44562B2Convencional pré-pagamentoRuralCooperativa de eletrificação ruralNão se aplicaNão se aplicaNão se aplica",Mercado_Receita!$L$2:$L$548)</f>
        <v>0</v>
      </c>
      <c r="N40" s="13">
        <f>SUMIF(Mercado_Receita!$S$2:$S$548,"44593B2Convencional pré-pagamentoRuralCooperativa de eletrificação ruralNão se aplicaNão se aplicaPonta",Mercado_Receita!$L$2:$L$548)+SUMIF(Mercado_Receita!$S$2:$S$548,"44593B2Convencional pré-pagamentoRuralCooperativa de eletrificação ruralNão se aplicaNão se aplicaFora ponta",Mercado_Receita!$L$2:$L$548)+SUMIF(Mercado_Receita!$S$2:$S$548,"44593B2Convencional pré-pagamentoRuralCooperativa de eletrificação ruralNão se aplicaNão se aplicaIntermediário",Mercado_Receita!$L$2:$L$548)+SUMIF(Mercado_Receita!$S$2:$S$548,"44593B2Convencional pré-pagamentoRuralCooperativa de eletrificação ruralNão se aplicaNão se aplicaNão se aplica",Mercado_Receita!$L$2:$L$548)</f>
        <v>0</v>
      </c>
      <c r="O40" s="13">
        <f>SUMIF(Mercado_Receita!$S$2:$S$548,"44621B2Convencional pré-pagamentoRuralCooperativa de eletrificação ruralNão se aplicaNão se aplicaPonta",Mercado_Receita!$L$2:$L$548)+SUMIF(Mercado_Receita!$S$2:$S$548,"44621B2Convencional pré-pagamentoRuralCooperativa de eletrificação ruralNão se aplicaNão se aplicaFora ponta",Mercado_Receita!$L$2:$L$548)+SUMIF(Mercado_Receita!$S$2:$S$548,"44621B2Convencional pré-pagamentoRuralCooperativa de eletrificação ruralNão se aplicaNão se aplicaIntermediário",Mercado_Receita!$L$2:$L$548)+SUMIF(Mercado_Receita!$S$2:$S$548,"44621B2Convencional pré-pagamentoRuralCooperativa de eletrificação ruralNão se aplicaNão se aplicaNão se aplica",Mercado_Receita!$L$2:$L$548)</f>
        <v>0</v>
      </c>
      <c r="P40" s="13">
        <f>SUMIF(Mercado_Receita!$S$2:$S$548,"44652B2Convencional pré-pagamentoRuralCooperativa de eletrificação ruralNão se aplicaNão se aplicaPonta",Mercado_Receita!$L$2:$L$548)+SUMIF(Mercado_Receita!$S$2:$S$548,"44652B2Convencional pré-pagamentoRuralCooperativa de eletrificação ruralNão se aplicaNão se aplicaFora ponta",Mercado_Receita!$L$2:$L$548)+SUMIF(Mercado_Receita!$S$2:$S$548,"44652B2Convencional pré-pagamentoRuralCooperativa de eletrificação ruralNão se aplicaNão se aplicaIntermediário",Mercado_Receita!$L$2:$L$548)+SUMIF(Mercado_Receita!$S$2:$S$548,"44652B2Convencional pré-pagamentoRuralCooperativa de eletrificação ruralNão se aplicaNão se aplicaNão se aplica",Mercado_Receita!$L$2:$L$548)</f>
        <v>0</v>
      </c>
      <c r="Q40" s="13">
        <f>SUMIF(Mercado_Receita!$S$2:$S$548,"44682B2Convencional pré-pagamentoRuralCooperativa de eletrificação ruralNão se aplicaNão se aplicaPonta",Mercado_Receita!$L$2:$L$548)+SUMIF(Mercado_Receita!$S$2:$S$548,"44682B2Convencional pré-pagamentoRuralCooperativa de eletrificação ruralNão se aplicaNão se aplicaFora ponta",Mercado_Receita!$L$2:$L$548)+SUMIF(Mercado_Receita!$S$2:$S$548,"44682B2Convencional pré-pagamentoRuralCooperativa de eletrificação ruralNão se aplicaNão se aplicaIntermediário",Mercado_Receita!$L$2:$L$548)+SUMIF(Mercado_Receita!$S$2:$S$548,"44682B2Convencional pré-pagamentoRuralCooperativa de eletrificação ruralNão se aplicaNão se aplicaNão se aplica",Mercado_Receita!$L$2:$L$548)</f>
        <v>0</v>
      </c>
      <c r="R40" s="13">
        <f>SUMIF(Mercado_Receita!$S$2:$S$548,"44713B2Convencional pré-pagamentoRuralCooperativa de eletrificação ruralNão se aplicaNão se aplicaPonta",Mercado_Receita!$L$2:$L$548)+SUMIF(Mercado_Receita!$S$2:$S$548,"44713B2Convencional pré-pagamentoRuralCooperativa de eletrificação ruralNão se aplicaNão se aplicaFora ponta",Mercado_Receita!$L$2:$L$548)+SUMIF(Mercado_Receita!$S$2:$S$548,"44713B2Convencional pré-pagamentoRuralCooperativa de eletrificação ruralNão se aplicaNão se aplicaIntermediário",Mercado_Receita!$L$2:$L$548)+SUMIF(Mercado_Receita!$S$2:$S$548,"44713B2Convencional pré-pagamentoRuralCooperativa de eletrificação ruralNão se aplicaNão se aplicaNão se aplica",Mercado_Receita!$L$2:$L$548)</f>
        <v>0</v>
      </c>
      <c r="S40" s="13">
        <f>SUMIF(Mercado_Receita!$S$2:$S$548,"44743B2Convencional pré-pagamentoRuralCooperativa de eletrificação ruralNão se aplicaNão se aplicaPonta",Mercado_Receita!$L$2:$L$548)+SUMIF(Mercado_Receita!$S$2:$S$548,"44743B2Convencional pré-pagamentoRuralCooperativa de eletrificação ruralNão se aplicaNão se aplicaFora ponta",Mercado_Receita!$L$2:$L$548)+SUMIF(Mercado_Receita!$S$2:$S$548,"44743B2Convencional pré-pagamentoRuralCooperativa de eletrificação ruralNão se aplicaNão se aplicaIntermediário",Mercado_Receita!$L$2:$L$548)+SUMIF(Mercado_Receita!$S$2:$S$548,"44743B2Convencional pré-pagamentoRuralCooperativa de eletrificação ruralNão se aplicaNão se aplicaNão se aplica",Mercado_Receita!$L$2:$L$548)</f>
        <v>0</v>
      </c>
      <c r="T40" s="13">
        <f>SUMIF(Mercado_Receita!$S$2:$S$548,"44774B2Convencional pré-pagamentoRuralCooperativa de eletrificação ruralNão se aplicaNão se aplicaPonta",Mercado_Receita!$L$2:$L$548)+SUMIF(Mercado_Receita!$S$2:$S$548,"44774B2Convencional pré-pagamentoRuralCooperativa de eletrificação ruralNão se aplicaNão se aplicaFora ponta",Mercado_Receita!$L$2:$L$548)+SUMIF(Mercado_Receita!$S$2:$S$548,"44774B2Convencional pré-pagamentoRuralCooperativa de eletrificação ruralNão se aplicaNão se aplicaIntermediário",Mercado_Receita!$L$2:$L$548)+SUMIF(Mercado_Receita!$S$2:$S$548,"44774B2Convencional pré-pagamentoRuralCooperativa de eletrificação ruralNão se aplicaNão se aplicaNão se aplica",Mercado_Receita!$L$2:$L$548)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7"/>
      <c r="B41" s="77"/>
      <c r="C41" s="77"/>
      <c r="D41" s="12" t="s">
        <v>89</v>
      </c>
      <c r="E41" s="12" t="s">
        <v>25</v>
      </c>
      <c r="F41" s="12" t="s">
        <v>25</v>
      </c>
      <c r="G41" s="13" t="s">
        <v>78</v>
      </c>
      <c r="H41" s="13" t="s">
        <v>72</v>
      </c>
      <c r="I41" s="13">
        <f>SUMIF(Mercado_Receita!$S$2:$S$548,"44440B2Convencional pré-pagamentoRuralServiço público de irrigação ruralNão se aplicaNão se aplicaPonta",Mercado_Receita!$L$2:$L$548)+SUMIF(Mercado_Receita!$S$2:$S$548,"44440B2Convencional pré-pagamentoRuralServiço público de irrigação ruralNão se aplicaNão se aplicaFora ponta",Mercado_Receita!$L$2:$L$548)+SUMIF(Mercado_Receita!$S$2:$S$548,"44440B2Convencional pré-pagamentoRuralServiço público de irrigação ruralNão se aplicaNão se aplicaIntermediário",Mercado_Receita!$L$2:$L$548)+SUMIF(Mercado_Receita!$S$2:$S$548,"44440B2Convencional pré-pagamentoRuralServiço público de irrigação ruralNão se aplicaNão se aplicaNão se aplica",Mercado_Receita!$L$2:$L$548)</f>
        <v>0</v>
      </c>
      <c r="J41" s="13">
        <f>SUMIF(Mercado_Receita!$S$2:$S$548,"44470B2Convencional pré-pagamentoRuralServiço público de irrigação ruralNão se aplicaNão se aplicaPonta",Mercado_Receita!$L$2:$L$548)+SUMIF(Mercado_Receita!$S$2:$S$548,"44470B2Convencional pré-pagamentoRuralServiço público de irrigação ruralNão se aplicaNão se aplicaFora ponta",Mercado_Receita!$L$2:$L$548)+SUMIF(Mercado_Receita!$S$2:$S$548,"44470B2Convencional pré-pagamentoRuralServiço público de irrigação ruralNão se aplicaNão se aplicaIntermediário",Mercado_Receita!$L$2:$L$548)+SUMIF(Mercado_Receita!$S$2:$S$548,"44470B2Convencional pré-pagamentoRuralServiço público de irrigação ruralNão se aplicaNão se aplicaNão se aplica",Mercado_Receita!$L$2:$L$548)</f>
        <v>0</v>
      </c>
      <c r="K41" s="13">
        <f>SUMIF(Mercado_Receita!$S$2:$S$548,"44501B2Convencional pré-pagamentoRuralServiço público de irrigação ruralNão se aplicaNão se aplicaPonta",Mercado_Receita!$L$2:$L$548)+SUMIF(Mercado_Receita!$S$2:$S$548,"44501B2Convencional pré-pagamentoRuralServiço público de irrigação ruralNão se aplicaNão se aplicaFora ponta",Mercado_Receita!$L$2:$L$548)+SUMIF(Mercado_Receita!$S$2:$S$548,"44501B2Convencional pré-pagamentoRuralServiço público de irrigação ruralNão se aplicaNão se aplicaIntermediário",Mercado_Receita!$L$2:$L$548)+SUMIF(Mercado_Receita!$S$2:$S$548,"44501B2Convencional pré-pagamentoRuralServiço público de irrigação ruralNão se aplicaNão se aplicaNão se aplica",Mercado_Receita!$L$2:$L$548)</f>
        <v>0</v>
      </c>
      <c r="L41" s="13">
        <f>SUMIF(Mercado_Receita!$S$2:$S$548,"44531B2Convencional pré-pagamentoRuralServiço público de irrigação ruralNão se aplicaNão se aplicaPonta",Mercado_Receita!$L$2:$L$548)+SUMIF(Mercado_Receita!$S$2:$S$548,"44531B2Convencional pré-pagamentoRuralServiço público de irrigação ruralNão se aplicaNão se aplicaFora ponta",Mercado_Receita!$L$2:$L$548)+SUMIF(Mercado_Receita!$S$2:$S$548,"44531B2Convencional pré-pagamentoRuralServiço público de irrigação ruralNão se aplicaNão se aplicaIntermediário",Mercado_Receita!$L$2:$L$548)+SUMIF(Mercado_Receita!$S$2:$S$548,"44531B2Convencional pré-pagamentoRuralServiço público de irrigação ruralNão se aplicaNão se aplicaNão se aplica",Mercado_Receita!$L$2:$L$548)</f>
        <v>0</v>
      </c>
      <c r="M41" s="13">
        <f>SUMIF(Mercado_Receita!$S$2:$S$548,"44562B2Convencional pré-pagamentoRuralServiço público de irrigação ruralNão se aplicaNão se aplicaPonta",Mercado_Receita!$L$2:$L$548)+SUMIF(Mercado_Receita!$S$2:$S$548,"44562B2Convencional pré-pagamentoRuralServiço público de irrigação ruralNão se aplicaNão se aplicaFora ponta",Mercado_Receita!$L$2:$L$548)+SUMIF(Mercado_Receita!$S$2:$S$548,"44562B2Convencional pré-pagamentoRuralServiço público de irrigação ruralNão se aplicaNão se aplicaIntermediário",Mercado_Receita!$L$2:$L$548)+SUMIF(Mercado_Receita!$S$2:$S$548,"44562B2Convencional pré-pagamentoRuralServiço público de irrigação ruralNão se aplicaNão se aplicaNão se aplica",Mercado_Receita!$L$2:$L$548)</f>
        <v>0</v>
      </c>
      <c r="N41" s="13">
        <f>SUMIF(Mercado_Receita!$S$2:$S$548,"44593B2Convencional pré-pagamentoRuralServiço público de irrigação ruralNão se aplicaNão se aplicaPonta",Mercado_Receita!$L$2:$L$548)+SUMIF(Mercado_Receita!$S$2:$S$548,"44593B2Convencional pré-pagamentoRuralServiço público de irrigação ruralNão se aplicaNão se aplicaFora ponta",Mercado_Receita!$L$2:$L$548)+SUMIF(Mercado_Receita!$S$2:$S$548,"44593B2Convencional pré-pagamentoRuralServiço público de irrigação ruralNão se aplicaNão se aplicaIntermediário",Mercado_Receita!$L$2:$L$548)+SUMIF(Mercado_Receita!$S$2:$S$548,"44593B2Convencional pré-pagamentoRuralServiço público de irrigação ruralNão se aplicaNão se aplicaNão se aplica",Mercado_Receita!$L$2:$L$548)</f>
        <v>0</v>
      </c>
      <c r="O41" s="13">
        <f>SUMIF(Mercado_Receita!$S$2:$S$548,"44621B2Convencional pré-pagamentoRuralServiço público de irrigação ruralNão se aplicaNão se aplicaPonta",Mercado_Receita!$L$2:$L$548)+SUMIF(Mercado_Receita!$S$2:$S$548,"44621B2Convencional pré-pagamentoRuralServiço público de irrigação ruralNão se aplicaNão se aplicaFora ponta",Mercado_Receita!$L$2:$L$548)+SUMIF(Mercado_Receita!$S$2:$S$548,"44621B2Convencional pré-pagamentoRuralServiço público de irrigação ruralNão se aplicaNão se aplicaIntermediário",Mercado_Receita!$L$2:$L$548)+SUMIF(Mercado_Receita!$S$2:$S$548,"44621B2Convencional pré-pagamentoRuralServiço público de irrigação ruralNão se aplicaNão se aplicaNão se aplica",Mercado_Receita!$L$2:$L$548)</f>
        <v>0</v>
      </c>
      <c r="P41" s="13">
        <f>SUMIF(Mercado_Receita!$S$2:$S$548,"44652B2Convencional pré-pagamentoRuralServiço público de irrigação ruralNão se aplicaNão se aplicaPonta",Mercado_Receita!$L$2:$L$548)+SUMIF(Mercado_Receita!$S$2:$S$548,"44652B2Convencional pré-pagamentoRuralServiço público de irrigação ruralNão se aplicaNão se aplicaFora ponta",Mercado_Receita!$L$2:$L$548)+SUMIF(Mercado_Receita!$S$2:$S$548,"44652B2Convencional pré-pagamentoRuralServiço público de irrigação ruralNão se aplicaNão se aplicaIntermediário",Mercado_Receita!$L$2:$L$548)+SUMIF(Mercado_Receita!$S$2:$S$548,"44652B2Convencional pré-pagamentoRuralServiço público de irrigação ruralNão se aplicaNão se aplicaNão se aplica",Mercado_Receita!$L$2:$L$548)</f>
        <v>0</v>
      </c>
      <c r="Q41" s="13">
        <f>SUMIF(Mercado_Receita!$S$2:$S$548,"44682B2Convencional pré-pagamentoRuralServiço público de irrigação ruralNão se aplicaNão se aplicaPonta",Mercado_Receita!$L$2:$L$548)+SUMIF(Mercado_Receita!$S$2:$S$548,"44682B2Convencional pré-pagamentoRuralServiço público de irrigação ruralNão se aplicaNão se aplicaFora ponta",Mercado_Receita!$L$2:$L$548)+SUMIF(Mercado_Receita!$S$2:$S$548,"44682B2Convencional pré-pagamentoRuralServiço público de irrigação ruralNão se aplicaNão se aplicaIntermediário",Mercado_Receita!$L$2:$L$548)+SUMIF(Mercado_Receita!$S$2:$S$548,"44682B2Convencional pré-pagamentoRuralServiço público de irrigação ruralNão se aplicaNão se aplicaNão se aplica",Mercado_Receita!$L$2:$L$548)</f>
        <v>0</v>
      </c>
      <c r="R41" s="13">
        <f>SUMIF(Mercado_Receita!$S$2:$S$548,"44713B2Convencional pré-pagamentoRuralServiço público de irrigação ruralNão se aplicaNão se aplicaPonta",Mercado_Receita!$L$2:$L$548)+SUMIF(Mercado_Receita!$S$2:$S$548,"44713B2Convencional pré-pagamentoRuralServiço público de irrigação ruralNão se aplicaNão se aplicaFora ponta",Mercado_Receita!$L$2:$L$548)+SUMIF(Mercado_Receita!$S$2:$S$548,"44713B2Convencional pré-pagamentoRuralServiço público de irrigação ruralNão se aplicaNão se aplicaIntermediário",Mercado_Receita!$L$2:$L$548)+SUMIF(Mercado_Receita!$S$2:$S$548,"44713B2Convencional pré-pagamentoRuralServiço público de irrigação ruralNão se aplicaNão se aplicaNão se aplica",Mercado_Receita!$L$2:$L$548)</f>
        <v>0</v>
      </c>
      <c r="S41" s="13">
        <f>SUMIF(Mercado_Receita!$S$2:$S$548,"44743B2Convencional pré-pagamentoRuralServiço público de irrigação ruralNão se aplicaNão se aplicaPonta",Mercado_Receita!$L$2:$L$548)+SUMIF(Mercado_Receita!$S$2:$S$548,"44743B2Convencional pré-pagamentoRuralServiço público de irrigação ruralNão se aplicaNão se aplicaFora ponta",Mercado_Receita!$L$2:$L$548)+SUMIF(Mercado_Receita!$S$2:$S$548,"44743B2Convencional pré-pagamentoRuralServiço público de irrigação ruralNão se aplicaNão se aplicaIntermediário",Mercado_Receita!$L$2:$L$548)+SUMIF(Mercado_Receita!$S$2:$S$548,"44743B2Convencional pré-pagamentoRuralServiço público de irrigação ruralNão se aplicaNão se aplicaNão se aplica",Mercado_Receita!$L$2:$L$548)</f>
        <v>0</v>
      </c>
      <c r="T41" s="13">
        <f>SUMIF(Mercado_Receita!$S$2:$S$548,"44774B2Convencional pré-pagamentoRuralServiço público de irrigação ruralNão se aplicaNão se aplicaPonta",Mercado_Receita!$L$2:$L$548)+SUMIF(Mercado_Receita!$S$2:$S$548,"44774B2Convencional pré-pagamentoRuralServiço público de irrigação ruralNão se aplicaNão se aplicaFora ponta",Mercado_Receita!$L$2:$L$548)+SUMIF(Mercado_Receita!$S$2:$S$548,"44774B2Convencional pré-pagamentoRuralServiço público de irrigação ruralNão se aplicaNão se aplicaIntermediário",Mercado_Receita!$L$2:$L$548)+SUMIF(Mercado_Receita!$S$2:$S$548,"44774B2Convencional pré-pagamentoRuralServiço público de irrigação ruralNão se aplicaNão se aplicaNão se aplica",Mercado_Receita!$L$2:$L$548)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6" t="s">
        <v>33</v>
      </c>
      <c r="B42" s="76" t="s">
        <v>41</v>
      </c>
      <c r="C42" s="76" t="s">
        <v>25</v>
      </c>
      <c r="D42" s="76" t="s">
        <v>25</v>
      </c>
      <c r="E42" s="76" t="s">
        <v>25</v>
      </c>
      <c r="F42" s="76" t="s">
        <v>25</v>
      </c>
      <c r="G42" s="13" t="s">
        <v>73</v>
      </c>
      <c r="H42" s="13" t="s">
        <v>72</v>
      </c>
      <c r="I42" s="13">
        <f>SUMIF(Mercado_Receita!$S$2:$S$548,"44440B3BrancaNão se aplicaNão se aplicaNão se aplicaNão se aplicaPonta",Mercado_Receita!$L$2:$L$548)</f>
        <v>7.2999999999999995E-2</v>
      </c>
      <c r="J42" s="13">
        <f>SUMIF(Mercado_Receita!$S$2:$S$548,"44470B3BrancaNão se aplicaNão se aplicaNão se aplicaNão se aplicaPonta",Mercado_Receita!$L$2:$L$548)</f>
        <v>0.114</v>
      </c>
      <c r="K42" s="13">
        <f>SUMIF(Mercado_Receita!$S$2:$S$548,"44501B3BrancaNão se aplicaNão se aplicaNão se aplicaNão se aplicaPonta",Mercado_Receita!$L$2:$L$548)</f>
        <v>7.3999999999999996E-2</v>
      </c>
      <c r="L42" s="13">
        <f>SUMIF(Mercado_Receita!$S$2:$S$548,"44531B3BrancaNão se aplicaNão se aplicaNão se aplicaNão se aplicaPonta",Mercado_Receita!$L$2:$L$548)</f>
        <v>0.108</v>
      </c>
      <c r="M42" s="13">
        <f>SUMIF(Mercado_Receita!$S$2:$S$548,"44562B3BrancaNão se aplicaNão se aplicaNão se aplicaNão se aplicaPonta",Mercado_Receita!$L$2:$L$548)</f>
        <v>0.126</v>
      </c>
      <c r="N42" s="13">
        <f>SUMIF(Mercado_Receita!$S$2:$S$548,"44593B3BrancaNão se aplicaNão se aplicaNão se aplicaNão se aplicaPonta",Mercado_Receita!$L$2:$L$548)</f>
        <v>8.6999999999999994E-2</v>
      </c>
      <c r="O42" s="13">
        <f>SUMIF(Mercado_Receita!$S$2:$S$548,"44621B3BrancaNão se aplicaNão se aplicaNão se aplicaNão se aplicaPonta",Mercado_Receita!$L$2:$L$548)</f>
        <v>8.2000000000000003E-2</v>
      </c>
      <c r="P42" s="13">
        <f>SUMIF(Mercado_Receita!$S$2:$S$548,"44652B3BrancaNão se aplicaNão se aplicaNão se aplicaNão se aplicaPonta",Mercado_Receita!$L$2:$L$548)</f>
        <v>6.6000000000000003E-2</v>
      </c>
      <c r="Q42" s="13">
        <f>SUMIF(Mercado_Receita!$S$2:$S$548,"44682B3BrancaNão se aplicaNão se aplicaNão se aplicaNão se aplicaPonta",Mercado_Receita!$L$2:$L$548)</f>
        <v>8.5000000000000006E-2</v>
      </c>
      <c r="R42" s="13">
        <f>SUMIF(Mercado_Receita!$S$2:$S$548,"44713B3BrancaNão se aplicaNão se aplicaNão se aplicaNão se aplicaPonta",Mercado_Receita!$L$2:$L$548)</f>
        <v>9.5000000000000001E-2</v>
      </c>
      <c r="S42" s="13">
        <f>SUMIF(Mercado_Receita!$S$2:$S$548,"44743B3BrancaNão se aplicaNão se aplicaNão se aplicaNão se aplicaPonta",Mercado_Receita!$L$2:$L$548)</f>
        <v>7.6999999999999999E-2</v>
      </c>
      <c r="T42" s="13">
        <f>SUMIF(Mercado_Receita!$S$2:$S$548,"44774B3BrancaNão se aplicaNão se aplicaNão se aplicaNão se aplicaPonta",Mercado_Receita!$L$2:$L$548)</f>
        <v>7.6999999999999999E-2</v>
      </c>
      <c r="U42" s="13">
        <f t="shared" si="0"/>
        <v>1.0639999999999998</v>
      </c>
      <c r="V42" s="13"/>
      <c r="W42" s="13"/>
    </row>
    <row r="43" spans="1:23" ht="11.25" customHeight="1" x14ac:dyDescent="0.25">
      <c r="A43" s="77"/>
      <c r="B43" s="77"/>
      <c r="C43" s="77"/>
      <c r="D43" s="77"/>
      <c r="E43" s="77"/>
      <c r="F43" s="77"/>
      <c r="G43" s="13" t="s">
        <v>84</v>
      </c>
      <c r="H43" s="13" t="s">
        <v>72</v>
      </c>
      <c r="I43" s="13">
        <f>SUMIF(Mercado_Receita!$S$2:$S$548,"44440B3BrancaNão se aplicaNão se aplicaNão se aplicaNão se aplicaIntermediário",Mercado_Receita!$L$2:$L$548)</f>
        <v>0.08</v>
      </c>
      <c r="J43" s="13">
        <f>SUMIF(Mercado_Receita!$S$2:$S$548,"44470B3BrancaNão se aplicaNão se aplicaNão se aplicaNão se aplicaIntermediário",Mercado_Receita!$L$2:$L$548)</f>
        <v>9.5000000000000001E-2</v>
      </c>
      <c r="K43" s="13">
        <f>SUMIF(Mercado_Receita!$S$2:$S$548,"44501B3BrancaNão se aplicaNão se aplicaNão se aplicaNão se aplicaIntermediário",Mercado_Receita!$L$2:$L$548)</f>
        <v>0.104</v>
      </c>
      <c r="L43" s="13">
        <f>SUMIF(Mercado_Receita!$S$2:$S$548,"44531B3BrancaNão se aplicaNão se aplicaNão se aplicaNão se aplicaIntermediário",Mercado_Receita!$L$2:$L$548)</f>
        <v>0.26700000000000002</v>
      </c>
      <c r="M43" s="13">
        <f>SUMIF(Mercado_Receita!$S$2:$S$548,"44562B3BrancaNão se aplicaNão se aplicaNão se aplicaNão se aplicaIntermediário",Mercado_Receita!$L$2:$L$548)</f>
        <v>0.26400000000000001</v>
      </c>
      <c r="N43" s="13">
        <f>SUMIF(Mercado_Receita!$S$2:$S$548,"44593B3BrancaNão se aplicaNão se aplicaNão se aplicaNão se aplicaIntermediário",Mercado_Receita!$L$2:$L$548)</f>
        <v>0.20699999999999999</v>
      </c>
      <c r="O43" s="13">
        <f>SUMIF(Mercado_Receita!$S$2:$S$548,"44621B3BrancaNão se aplicaNão se aplicaNão se aplicaNão se aplicaIntermediário",Mercado_Receita!$L$2:$L$548)</f>
        <v>0.161</v>
      </c>
      <c r="P43" s="13">
        <f>SUMIF(Mercado_Receita!$S$2:$S$548,"44652B3BrancaNão se aplicaNão se aplicaNão se aplicaNão se aplicaIntermediário",Mercado_Receita!$L$2:$L$548)</f>
        <v>0.1</v>
      </c>
      <c r="Q43" s="13">
        <f>SUMIF(Mercado_Receita!$S$2:$S$548,"44682B3BrancaNão se aplicaNão se aplicaNão se aplicaNão se aplicaIntermediário",Mercado_Receita!$L$2:$L$548)</f>
        <v>0.104</v>
      </c>
      <c r="R43" s="13">
        <f>SUMIF(Mercado_Receita!$S$2:$S$548,"44713B3BrancaNão se aplicaNão se aplicaNão se aplicaNão se aplicaIntermediário",Mercado_Receita!$L$2:$L$548)</f>
        <v>0.11</v>
      </c>
      <c r="S43" s="13">
        <f>SUMIF(Mercado_Receita!$S$2:$S$548,"44743B3BrancaNão se aplicaNão se aplicaNão se aplicaNão se aplicaIntermediário",Mercado_Receita!$L$2:$L$548)</f>
        <v>8.7999999999999995E-2</v>
      </c>
      <c r="T43" s="13">
        <f>SUMIF(Mercado_Receita!$S$2:$S$548,"44774B3BrancaNão se aplicaNão se aplicaNão se aplicaNão se aplicaIntermediário",Mercado_Receita!$L$2:$L$548)</f>
        <v>8.7999999999999995E-2</v>
      </c>
      <c r="U43" s="13">
        <f t="shared" si="0"/>
        <v>1.6680000000000006</v>
      </c>
      <c r="V43" s="13"/>
      <c r="W43" s="13"/>
    </row>
    <row r="44" spans="1:23" ht="11.25" customHeight="1" x14ac:dyDescent="0.25">
      <c r="A44" s="77"/>
      <c r="B44" s="77"/>
      <c r="C44" s="77"/>
      <c r="D44" s="77"/>
      <c r="E44" s="77"/>
      <c r="F44" s="77"/>
      <c r="G44" s="13" t="s">
        <v>74</v>
      </c>
      <c r="H44" s="13" t="s">
        <v>72</v>
      </c>
      <c r="I44" s="13">
        <f>SUMIF(Mercado_Receita!$S$2:$S$548,"44440B3BrancaNão se aplicaNão se aplicaNão se aplicaNão se aplicaFora ponta",Mercado_Receita!$L$2:$L$548)</f>
        <v>7.0810000000000004</v>
      </c>
      <c r="J44" s="13">
        <f>SUMIF(Mercado_Receita!$S$2:$S$548,"44470B3BrancaNão se aplicaNão se aplicaNão se aplicaNão se aplicaFora ponta",Mercado_Receita!$L$2:$L$548)</f>
        <v>5.37</v>
      </c>
      <c r="K44" s="13">
        <f>SUMIF(Mercado_Receita!$S$2:$S$548,"44501B3BrancaNão se aplicaNão se aplicaNão se aplicaNão se aplicaFora ponta",Mercado_Receita!$L$2:$L$548)</f>
        <v>5.657</v>
      </c>
      <c r="L44" s="13">
        <f>SUMIF(Mercado_Receita!$S$2:$S$548,"44531B3BrancaNão se aplicaNão se aplicaNão se aplicaNão se aplicaFora ponta",Mercado_Receita!$L$2:$L$548)</f>
        <v>9.1059999999999999</v>
      </c>
      <c r="M44" s="13">
        <f>SUMIF(Mercado_Receita!$S$2:$S$548,"44562B3BrancaNão se aplicaNão se aplicaNão se aplicaNão se aplicaFora ponta",Mercado_Receita!$L$2:$L$548)</f>
        <v>8.2840000000000007</v>
      </c>
      <c r="N44" s="13">
        <f>SUMIF(Mercado_Receita!$S$2:$S$548,"44593B3BrancaNão se aplicaNão se aplicaNão se aplicaNão se aplicaFora ponta",Mercado_Receita!$L$2:$L$548)</f>
        <v>8.5079999999999991</v>
      </c>
      <c r="O44" s="13">
        <f>SUMIF(Mercado_Receita!$S$2:$S$548,"44621B3BrancaNão se aplicaNão se aplicaNão se aplicaNão se aplicaFora ponta",Mercado_Receita!$L$2:$L$548)</f>
        <v>6.3239999999999998</v>
      </c>
      <c r="P44" s="13">
        <f>SUMIF(Mercado_Receita!$S$2:$S$548,"44652B3BrancaNão se aplicaNão se aplicaNão se aplicaNão se aplicaFora ponta",Mercado_Receita!$L$2:$L$548)</f>
        <v>6.3140000000000001</v>
      </c>
      <c r="Q44" s="13">
        <f>SUMIF(Mercado_Receita!$S$2:$S$548,"44682B3BrancaNão se aplicaNão se aplicaNão se aplicaNão se aplicaFora ponta",Mercado_Receita!$L$2:$L$548)</f>
        <v>5.226</v>
      </c>
      <c r="R44" s="13">
        <f>SUMIF(Mercado_Receita!$S$2:$S$548,"44713B3BrancaNão se aplicaNão se aplicaNão se aplicaNão se aplicaFora ponta",Mercado_Receita!$L$2:$L$548)</f>
        <v>4.83</v>
      </c>
      <c r="S44" s="13">
        <f>SUMIF(Mercado_Receita!$S$2:$S$548,"44743B3BrancaNão se aplicaNão se aplicaNão se aplicaNão se aplicaFora ponta",Mercado_Receita!$L$2:$L$548)</f>
        <v>3.302</v>
      </c>
      <c r="T44" s="13">
        <f>SUMIF(Mercado_Receita!$S$2:$S$548,"44774B3BrancaNão se aplicaNão se aplicaNão se aplicaNão se aplicaFora ponta",Mercado_Receita!$L$2:$L$548)</f>
        <v>3.302</v>
      </c>
      <c r="U44" s="13">
        <f t="shared" si="0"/>
        <v>73.304000000000016</v>
      </c>
      <c r="V44" s="13"/>
      <c r="W44" s="13"/>
    </row>
    <row r="45" spans="1:23" ht="11.25" customHeight="1" x14ac:dyDescent="0.25">
      <c r="A45" s="7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78</v>
      </c>
      <c r="H45" s="13" t="s">
        <v>72</v>
      </c>
      <c r="I45" s="13">
        <f>SUMIF(Mercado_Receita!$S$2:$S$548,"44440B3ConvencionalNão se aplicaNão se aplicaNão se aplicaNão se aplicaPonta",Mercado_Receita!$L$2:$L$548)+SUMIF(Mercado_Receita!$S$2:$S$548,"44440B3ConvencionalNão se aplicaNão se aplicaNão se aplicaNão se aplicaFora ponta",Mercado_Receita!$L$2:$L$548)+SUMIF(Mercado_Receita!$S$2:$S$548,"44440B3ConvencionalNão se aplicaNão se aplicaNão se aplicaNão se aplicaIntermediário",Mercado_Receita!$L$2:$L$548)+SUMIF(Mercado_Receita!$S$2:$S$548,"44440B3ConvencionalNão se aplicaNão se aplicaNão se aplicaNão se aplicaNão se aplica",Mercado_Receita!$L$2:$L$548)</f>
        <v>1142.395</v>
      </c>
      <c r="J45" s="13">
        <f>SUMIF(Mercado_Receita!$S$2:$S$548,"44470B3ConvencionalNão se aplicaNão se aplicaNão se aplicaNão se aplicaPonta",Mercado_Receita!$L$2:$L$548)+SUMIF(Mercado_Receita!$S$2:$S$548,"44470B3ConvencionalNão se aplicaNão se aplicaNão se aplicaNão se aplicaFora ponta",Mercado_Receita!$L$2:$L$548)+SUMIF(Mercado_Receita!$S$2:$S$548,"44470B3ConvencionalNão se aplicaNão se aplicaNão se aplicaNão se aplicaIntermediário",Mercado_Receita!$L$2:$L$548)+SUMIF(Mercado_Receita!$S$2:$S$548,"44470B3ConvencionalNão se aplicaNão se aplicaNão se aplicaNão se aplicaNão se aplica",Mercado_Receita!$L$2:$L$548)</f>
        <v>1118.4570000000001</v>
      </c>
      <c r="K45" s="13">
        <f>SUMIF(Mercado_Receita!$S$2:$S$548,"44501B3ConvencionalNão se aplicaNão se aplicaNão se aplicaNão se aplicaPonta",Mercado_Receita!$L$2:$L$548)+SUMIF(Mercado_Receita!$S$2:$S$548,"44501B3ConvencionalNão se aplicaNão se aplicaNão se aplicaNão se aplicaFora ponta",Mercado_Receita!$L$2:$L$548)+SUMIF(Mercado_Receita!$S$2:$S$548,"44501B3ConvencionalNão se aplicaNão se aplicaNão se aplicaNão se aplicaIntermediário",Mercado_Receita!$L$2:$L$548)+SUMIF(Mercado_Receita!$S$2:$S$548,"44501B3ConvencionalNão se aplicaNão se aplicaNão se aplicaNão se aplicaNão se aplica",Mercado_Receita!$L$2:$L$548)</f>
        <v>1163.2949999999998</v>
      </c>
      <c r="L45" s="13">
        <f>SUMIF(Mercado_Receita!$S$2:$S$548,"44531B3ConvencionalNão se aplicaNão se aplicaNão se aplicaNão se aplicaPonta",Mercado_Receita!$L$2:$L$548)+SUMIF(Mercado_Receita!$S$2:$S$548,"44531B3ConvencionalNão se aplicaNão se aplicaNão se aplicaNão se aplicaFora ponta",Mercado_Receita!$L$2:$L$548)+SUMIF(Mercado_Receita!$S$2:$S$548,"44531B3ConvencionalNão se aplicaNão se aplicaNão se aplicaNão se aplicaIntermediário",Mercado_Receita!$L$2:$L$548)+SUMIF(Mercado_Receita!$S$2:$S$548,"44531B3ConvencionalNão se aplicaNão se aplicaNão se aplicaNão se aplicaNão se aplica",Mercado_Receita!$L$2:$L$548)</f>
        <v>1281.3029999999999</v>
      </c>
      <c r="M45" s="13">
        <f>SUMIF(Mercado_Receita!$S$2:$S$548,"44562B3ConvencionalNão se aplicaNão se aplicaNão se aplicaNão se aplicaPonta",Mercado_Receita!$L$2:$L$548)+SUMIF(Mercado_Receita!$S$2:$S$548,"44562B3ConvencionalNão se aplicaNão se aplicaNão se aplicaNão se aplicaFora ponta",Mercado_Receita!$L$2:$L$548)+SUMIF(Mercado_Receita!$S$2:$S$548,"44562B3ConvencionalNão se aplicaNão se aplicaNão se aplicaNão se aplicaIntermediário",Mercado_Receita!$L$2:$L$548)+SUMIF(Mercado_Receita!$S$2:$S$548,"44562B3ConvencionalNão se aplicaNão se aplicaNão se aplicaNão se aplicaNão se aplica",Mercado_Receita!$L$2:$L$548)</f>
        <v>1350.6220000000001</v>
      </c>
      <c r="N45" s="13">
        <f>SUMIF(Mercado_Receita!$S$2:$S$548,"44593B3ConvencionalNão se aplicaNão se aplicaNão se aplicaNão se aplicaPonta",Mercado_Receita!$L$2:$L$548)+SUMIF(Mercado_Receita!$S$2:$S$548,"44593B3ConvencionalNão se aplicaNão se aplicaNão se aplicaNão se aplicaFora ponta",Mercado_Receita!$L$2:$L$548)+SUMIF(Mercado_Receita!$S$2:$S$548,"44593B3ConvencionalNão se aplicaNão se aplicaNão se aplicaNão se aplicaIntermediário",Mercado_Receita!$L$2:$L$548)+SUMIF(Mercado_Receita!$S$2:$S$548,"44593B3ConvencionalNão se aplicaNão se aplicaNão se aplicaNão se aplicaNão se aplica",Mercado_Receita!$L$2:$L$548)</f>
        <v>1482.7639999999999</v>
      </c>
      <c r="O45" s="13">
        <f>SUMIF(Mercado_Receita!$S$2:$S$548,"44621B3ConvencionalNão se aplicaNão se aplicaNão se aplicaNão se aplicaPonta",Mercado_Receita!$L$2:$L$548)+SUMIF(Mercado_Receita!$S$2:$S$548,"44621B3ConvencionalNão se aplicaNão se aplicaNão se aplicaNão se aplicaFora ponta",Mercado_Receita!$L$2:$L$548)+SUMIF(Mercado_Receita!$S$2:$S$548,"44621B3ConvencionalNão se aplicaNão se aplicaNão se aplicaNão se aplicaIntermediário",Mercado_Receita!$L$2:$L$548)+SUMIF(Mercado_Receita!$S$2:$S$548,"44621B3ConvencionalNão se aplicaNão se aplicaNão se aplicaNão se aplicaNão se aplica",Mercado_Receita!$L$2:$L$548)</f>
        <v>1364.8459999999998</v>
      </c>
      <c r="P45" s="13">
        <f>SUMIF(Mercado_Receita!$S$2:$S$548,"44652B3ConvencionalNão se aplicaNão se aplicaNão se aplicaNão se aplicaPonta",Mercado_Receita!$L$2:$L$548)+SUMIF(Mercado_Receita!$S$2:$S$548,"44652B3ConvencionalNão se aplicaNão se aplicaNão se aplicaNão se aplicaFora ponta",Mercado_Receita!$L$2:$L$548)+SUMIF(Mercado_Receita!$S$2:$S$548,"44652B3ConvencionalNão se aplicaNão se aplicaNão se aplicaNão se aplicaIntermediário",Mercado_Receita!$L$2:$L$548)+SUMIF(Mercado_Receita!$S$2:$S$548,"44652B3ConvencionalNão se aplicaNão se aplicaNão se aplicaNão se aplicaNão se aplica",Mercado_Receita!$L$2:$L$548)</f>
        <v>1207.3440000000001</v>
      </c>
      <c r="Q45" s="13">
        <f>SUMIF(Mercado_Receita!$S$2:$S$548,"44682B3ConvencionalNão se aplicaNão se aplicaNão se aplicaNão se aplicaPonta",Mercado_Receita!$L$2:$L$548)+SUMIF(Mercado_Receita!$S$2:$S$548,"44682B3ConvencionalNão se aplicaNão se aplicaNão se aplicaNão se aplicaFora ponta",Mercado_Receita!$L$2:$L$548)+SUMIF(Mercado_Receita!$S$2:$S$548,"44682B3ConvencionalNão se aplicaNão se aplicaNão se aplicaNão se aplicaIntermediário",Mercado_Receita!$L$2:$L$548)+SUMIF(Mercado_Receita!$S$2:$S$548,"44682B3ConvencionalNão se aplicaNão se aplicaNão se aplicaNão se aplicaNão se aplica",Mercado_Receita!$L$2:$L$548)</f>
        <v>1096.0800000000002</v>
      </c>
      <c r="R45" s="13">
        <f>SUMIF(Mercado_Receita!$S$2:$S$548,"44713B3ConvencionalNão se aplicaNão se aplicaNão se aplicaNão se aplicaPonta",Mercado_Receita!$L$2:$L$548)+SUMIF(Mercado_Receita!$S$2:$S$548,"44713B3ConvencionalNão se aplicaNão se aplicaNão se aplicaNão se aplicaFora ponta",Mercado_Receita!$L$2:$L$548)+SUMIF(Mercado_Receita!$S$2:$S$548,"44713B3ConvencionalNão se aplicaNão se aplicaNão se aplicaNão se aplicaIntermediário",Mercado_Receita!$L$2:$L$548)+SUMIF(Mercado_Receita!$S$2:$S$548,"44713B3ConvencionalNão se aplicaNão se aplicaNão se aplicaNão se aplicaNão se aplica",Mercado_Receita!$L$2:$L$548)</f>
        <v>1113.633</v>
      </c>
      <c r="S45" s="13">
        <f>SUMIF(Mercado_Receita!$S$2:$S$548,"44743B3ConvencionalNão se aplicaNão se aplicaNão se aplicaNão se aplicaPonta",Mercado_Receita!$L$2:$L$548)+SUMIF(Mercado_Receita!$S$2:$S$548,"44743B3ConvencionalNão se aplicaNão se aplicaNão se aplicaNão se aplicaFora ponta",Mercado_Receita!$L$2:$L$548)+SUMIF(Mercado_Receita!$S$2:$S$548,"44743B3ConvencionalNão se aplicaNão se aplicaNão se aplicaNão se aplicaIntermediário",Mercado_Receita!$L$2:$L$548)+SUMIF(Mercado_Receita!$S$2:$S$548,"44743B3ConvencionalNão se aplicaNão se aplicaNão se aplicaNão se aplicaNão se aplica",Mercado_Receita!$L$2:$L$548)</f>
        <v>1135.6020000000001</v>
      </c>
      <c r="T45" s="13">
        <f>SUMIF(Mercado_Receita!$S$2:$S$548,"44774B3ConvencionalNão se aplicaNão se aplicaNão se aplicaNão se aplicaPonta",Mercado_Receita!$L$2:$L$548)+SUMIF(Mercado_Receita!$S$2:$S$548,"44774B3ConvencionalNão se aplicaNão se aplicaNão se aplicaNão se aplicaFora ponta",Mercado_Receita!$L$2:$L$548)+SUMIF(Mercado_Receita!$S$2:$S$548,"44774B3ConvencionalNão se aplicaNão se aplicaNão se aplicaNão se aplicaIntermediário",Mercado_Receita!$L$2:$L$548)+SUMIF(Mercado_Receita!$S$2:$S$548,"44774B3ConvencionalNão se aplicaNão se aplicaNão se aplicaNão se aplicaNão se aplica",Mercado_Receita!$L$2:$L$548)</f>
        <v>1135.6020000000001</v>
      </c>
      <c r="U45" s="13">
        <f t="shared" si="0"/>
        <v>14591.943000000003</v>
      </c>
      <c r="V45" s="13"/>
      <c r="W45" s="13"/>
    </row>
    <row r="46" spans="1:23" ht="11.25" customHeight="1" x14ac:dyDescent="0.25">
      <c r="A46" s="77"/>
      <c r="B46" s="12" t="s">
        <v>87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78</v>
      </c>
      <c r="H46" s="13" t="s">
        <v>72</v>
      </c>
      <c r="I46" s="13">
        <f>SUMIF(Mercado_Receita!$S$2:$S$548,"44440B3Convencional pré-pagamentoNão se aplicaNão se aplicaNão se aplicaNão se aplicaPonta",Mercado_Receita!$L$2:$L$548)+SUMIF(Mercado_Receita!$S$2:$S$548,"44440B3Convencional pré-pagamentoNão se aplicaNão se aplicaNão se aplicaNão se aplicaFora ponta",Mercado_Receita!$L$2:$L$548)+SUMIF(Mercado_Receita!$S$2:$S$548,"44440B3Convencional pré-pagamentoNão se aplicaNão se aplicaNão se aplicaNão se aplicaIntermediário",Mercado_Receita!$L$2:$L$548)+SUMIF(Mercado_Receita!$S$2:$S$548,"44440B3Convencional pré-pagamentoNão se aplicaNão se aplicaNão se aplicaNão se aplicaNão se aplica",Mercado_Receita!$L$2:$L$548)</f>
        <v>0</v>
      </c>
      <c r="J46" s="13">
        <f>SUMIF(Mercado_Receita!$S$2:$S$548,"44470B3Convencional pré-pagamentoNão se aplicaNão se aplicaNão se aplicaNão se aplicaPonta",Mercado_Receita!$L$2:$L$548)+SUMIF(Mercado_Receita!$S$2:$S$548,"44470B3Convencional pré-pagamentoNão se aplicaNão se aplicaNão se aplicaNão se aplicaFora ponta",Mercado_Receita!$L$2:$L$548)+SUMIF(Mercado_Receita!$S$2:$S$548,"44470B3Convencional pré-pagamentoNão se aplicaNão se aplicaNão se aplicaNão se aplicaIntermediário",Mercado_Receita!$L$2:$L$548)+SUMIF(Mercado_Receita!$S$2:$S$548,"44470B3Convencional pré-pagamentoNão se aplicaNão se aplicaNão se aplicaNão se aplicaNão se aplica",Mercado_Receita!$L$2:$L$548)</f>
        <v>0</v>
      </c>
      <c r="K46" s="13">
        <f>SUMIF(Mercado_Receita!$S$2:$S$548,"44501B3Convencional pré-pagamentoNão se aplicaNão se aplicaNão se aplicaNão se aplicaPonta",Mercado_Receita!$L$2:$L$548)+SUMIF(Mercado_Receita!$S$2:$S$548,"44501B3Convencional pré-pagamentoNão se aplicaNão se aplicaNão se aplicaNão se aplicaFora ponta",Mercado_Receita!$L$2:$L$548)+SUMIF(Mercado_Receita!$S$2:$S$548,"44501B3Convencional pré-pagamentoNão se aplicaNão se aplicaNão se aplicaNão se aplicaIntermediário",Mercado_Receita!$L$2:$L$548)+SUMIF(Mercado_Receita!$S$2:$S$548,"44501B3Convencional pré-pagamentoNão se aplicaNão se aplicaNão se aplicaNão se aplicaNão se aplica",Mercado_Receita!$L$2:$L$548)</f>
        <v>0</v>
      </c>
      <c r="L46" s="13">
        <f>SUMIF(Mercado_Receita!$S$2:$S$548,"44531B3Convencional pré-pagamentoNão se aplicaNão se aplicaNão se aplicaNão se aplicaPonta",Mercado_Receita!$L$2:$L$548)+SUMIF(Mercado_Receita!$S$2:$S$548,"44531B3Convencional pré-pagamentoNão se aplicaNão se aplicaNão se aplicaNão se aplicaFora ponta",Mercado_Receita!$L$2:$L$548)+SUMIF(Mercado_Receita!$S$2:$S$548,"44531B3Convencional pré-pagamentoNão se aplicaNão se aplicaNão se aplicaNão se aplicaIntermediário",Mercado_Receita!$L$2:$L$548)+SUMIF(Mercado_Receita!$S$2:$S$548,"44531B3Convencional pré-pagamentoNão se aplicaNão se aplicaNão se aplicaNão se aplicaNão se aplica",Mercado_Receita!$L$2:$L$548)</f>
        <v>0</v>
      </c>
      <c r="M46" s="13">
        <f>SUMIF(Mercado_Receita!$S$2:$S$548,"44562B3Convencional pré-pagamentoNão se aplicaNão se aplicaNão se aplicaNão se aplicaPonta",Mercado_Receita!$L$2:$L$548)+SUMIF(Mercado_Receita!$S$2:$S$548,"44562B3Convencional pré-pagamentoNão se aplicaNão se aplicaNão se aplicaNão se aplicaFora ponta",Mercado_Receita!$L$2:$L$548)+SUMIF(Mercado_Receita!$S$2:$S$548,"44562B3Convencional pré-pagamentoNão se aplicaNão se aplicaNão se aplicaNão se aplicaIntermediário",Mercado_Receita!$L$2:$L$548)+SUMIF(Mercado_Receita!$S$2:$S$548,"44562B3Convencional pré-pagamentoNão se aplicaNão se aplicaNão se aplicaNão se aplicaNão se aplica",Mercado_Receita!$L$2:$L$548)</f>
        <v>0</v>
      </c>
      <c r="N46" s="13">
        <f>SUMIF(Mercado_Receita!$S$2:$S$548,"44593B3Convencional pré-pagamentoNão se aplicaNão se aplicaNão se aplicaNão se aplicaPonta",Mercado_Receita!$L$2:$L$548)+SUMIF(Mercado_Receita!$S$2:$S$548,"44593B3Convencional pré-pagamentoNão se aplicaNão se aplicaNão se aplicaNão se aplicaFora ponta",Mercado_Receita!$L$2:$L$548)+SUMIF(Mercado_Receita!$S$2:$S$548,"44593B3Convencional pré-pagamentoNão se aplicaNão se aplicaNão se aplicaNão se aplicaIntermediário",Mercado_Receita!$L$2:$L$548)+SUMIF(Mercado_Receita!$S$2:$S$548,"44593B3Convencional pré-pagamentoNão se aplicaNão se aplicaNão se aplicaNão se aplicaNão se aplica",Mercado_Receita!$L$2:$L$548)</f>
        <v>0</v>
      </c>
      <c r="O46" s="13">
        <f>SUMIF(Mercado_Receita!$S$2:$S$548,"44621B3Convencional pré-pagamentoNão se aplicaNão se aplicaNão se aplicaNão se aplicaPonta",Mercado_Receita!$L$2:$L$548)+SUMIF(Mercado_Receita!$S$2:$S$548,"44621B3Convencional pré-pagamentoNão se aplicaNão se aplicaNão se aplicaNão se aplicaFora ponta",Mercado_Receita!$L$2:$L$548)+SUMIF(Mercado_Receita!$S$2:$S$548,"44621B3Convencional pré-pagamentoNão se aplicaNão se aplicaNão se aplicaNão se aplicaIntermediário",Mercado_Receita!$L$2:$L$548)+SUMIF(Mercado_Receita!$S$2:$S$548,"44621B3Convencional pré-pagamentoNão se aplicaNão se aplicaNão se aplicaNão se aplicaNão se aplica",Mercado_Receita!$L$2:$L$548)</f>
        <v>0</v>
      </c>
      <c r="P46" s="13">
        <f>SUMIF(Mercado_Receita!$S$2:$S$548,"44652B3Convencional pré-pagamentoNão se aplicaNão se aplicaNão se aplicaNão se aplicaPonta",Mercado_Receita!$L$2:$L$548)+SUMIF(Mercado_Receita!$S$2:$S$548,"44652B3Convencional pré-pagamentoNão se aplicaNão se aplicaNão se aplicaNão se aplicaFora ponta",Mercado_Receita!$L$2:$L$548)+SUMIF(Mercado_Receita!$S$2:$S$548,"44652B3Convencional pré-pagamentoNão se aplicaNão se aplicaNão se aplicaNão se aplicaIntermediário",Mercado_Receita!$L$2:$L$548)+SUMIF(Mercado_Receita!$S$2:$S$548,"44652B3Convencional pré-pagamentoNão se aplicaNão se aplicaNão se aplicaNão se aplicaNão se aplica",Mercado_Receita!$L$2:$L$548)</f>
        <v>0</v>
      </c>
      <c r="Q46" s="13">
        <f>SUMIF(Mercado_Receita!$S$2:$S$548,"44682B3Convencional pré-pagamentoNão se aplicaNão se aplicaNão se aplicaNão se aplicaPonta",Mercado_Receita!$L$2:$L$548)+SUMIF(Mercado_Receita!$S$2:$S$548,"44682B3Convencional pré-pagamentoNão se aplicaNão se aplicaNão se aplicaNão se aplicaFora ponta",Mercado_Receita!$L$2:$L$548)+SUMIF(Mercado_Receita!$S$2:$S$548,"44682B3Convencional pré-pagamentoNão se aplicaNão se aplicaNão se aplicaNão se aplicaIntermediário",Mercado_Receita!$L$2:$L$548)+SUMIF(Mercado_Receita!$S$2:$S$548,"44682B3Convencional pré-pagamentoNão se aplicaNão se aplicaNão se aplicaNão se aplicaNão se aplica",Mercado_Receita!$L$2:$L$548)</f>
        <v>0</v>
      </c>
      <c r="R46" s="13">
        <f>SUMIF(Mercado_Receita!$S$2:$S$548,"44713B3Convencional pré-pagamentoNão se aplicaNão se aplicaNão se aplicaNão se aplicaPonta",Mercado_Receita!$L$2:$L$548)+SUMIF(Mercado_Receita!$S$2:$S$548,"44713B3Convencional pré-pagamentoNão se aplicaNão se aplicaNão se aplicaNão se aplicaFora ponta",Mercado_Receita!$L$2:$L$548)+SUMIF(Mercado_Receita!$S$2:$S$548,"44713B3Convencional pré-pagamentoNão se aplicaNão se aplicaNão se aplicaNão se aplicaIntermediário",Mercado_Receita!$L$2:$L$548)+SUMIF(Mercado_Receita!$S$2:$S$548,"44713B3Convencional pré-pagamentoNão se aplicaNão se aplicaNão se aplicaNão se aplicaNão se aplica",Mercado_Receita!$L$2:$L$548)</f>
        <v>0</v>
      </c>
      <c r="S46" s="13">
        <f>SUMIF(Mercado_Receita!$S$2:$S$548,"44743B3Convencional pré-pagamentoNão se aplicaNão se aplicaNão se aplicaNão se aplicaPonta",Mercado_Receita!$L$2:$L$548)+SUMIF(Mercado_Receita!$S$2:$S$548,"44743B3Convencional pré-pagamentoNão se aplicaNão se aplicaNão se aplicaNão se aplicaFora ponta",Mercado_Receita!$L$2:$L$548)+SUMIF(Mercado_Receita!$S$2:$S$548,"44743B3Convencional pré-pagamentoNão se aplicaNão se aplicaNão se aplicaNão se aplicaIntermediário",Mercado_Receita!$L$2:$L$548)+SUMIF(Mercado_Receita!$S$2:$S$548,"44743B3Convencional pré-pagamentoNão se aplicaNão se aplicaNão se aplicaNão se aplicaNão se aplica",Mercado_Receita!$L$2:$L$548)</f>
        <v>0</v>
      </c>
      <c r="T46" s="13">
        <f>SUMIF(Mercado_Receita!$S$2:$S$548,"44774B3Convencional pré-pagamentoNão se aplicaNão se aplicaNão se aplicaNão se aplicaPonta",Mercado_Receita!$L$2:$L$548)+SUMIF(Mercado_Receita!$S$2:$S$548,"44774B3Convencional pré-pagamentoNão se aplicaNão se aplicaNão se aplicaNão se aplicaFora ponta",Mercado_Receita!$L$2:$L$548)+SUMIF(Mercado_Receita!$S$2:$S$548,"44774B3Convencional pré-pagamentoNão se aplicaNão se aplicaNão se aplicaNão se aplicaIntermediário",Mercado_Receita!$L$2:$L$548)+SUMIF(Mercado_Receita!$S$2:$S$548,"44774B3Convencional pré-pagamentoNão se aplicaNão se aplicaNão se aplicaNão se aplicaNão se aplica",Mercado_Receita!$L$2:$L$548)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6" t="s">
        <v>46</v>
      </c>
      <c r="B47" s="76" t="s">
        <v>23</v>
      </c>
      <c r="C47" s="76" t="s">
        <v>47</v>
      </c>
      <c r="D47" s="12" t="s">
        <v>48</v>
      </c>
      <c r="E47" s="12" t="s">
        <v>25</v>
      </c>
      <c r="F47" s="12" t="s">
        <v>25</v>
      </c>
      <c r="G47" s="13" t="s">
        <v>78</v>
      </c>
      <c r="H47" s="13" t="s">
        <v>72</v>
      </c>
      <c r="I47" s="13">
        <f>SUMIF(Mercado_Receita!$S$2:$S$548,"44440B4ConvencionalIluminação públicaIluminação pública – B4aNão se aplicaNão se aplicaPonta",Mercado_Receita!$L$2:$L$548)+SUMIF(Mercado_Receita!$S$2:$S$548,"44440B4ConvencionalIluminação públicaIluminação pública – B4aNão se aplicaNão se aplicaFora ponta",Mercado_Receita!$L$2:$L$548)+SUMIF(Mercado_Receita!$S$2:$S$548,"44440B4ConvencionalIluminação públicaIluminação pública – B4aNão se aplicaNão se aplicaIntermediário",Mercado_Receita!$L$2:$L$548)+SUMIF(Mercado_Receita!$S$2:$S$548,"44440B4ConvencionalIluminação públicaIluminação pública – B4aNão se aplicaNão se aplicaNão se aplica",Mercado_Receita!$L$2:$L$548)</f>
        <v>432.84500000000003</v>
      </c>
      <c r="J47" s="13">
        <f>SUMIF(Mercado_Receita!$S$2:$S$548,"44470B4ConvencionalIluminação públicaIluminação pública – B4aNão se aplicaNão se aplicaPonta",Mercado_Receita!$L$2:$L$548)+SUMIF(Mercado_Receita!$S$2:$S$548,"44470B4ConvencionalIluminação públicaIluminação pública – B4aNão se aplicaNão se aplicaFora ponta",Mercado_Receita!$L$2:$L$548)+SUMIF(Mercado_Receita!$S$2:$S$548,"44470B4ConvencionalIluminação públicaIluminação pública – B4aNão se aplicaNão se aplicaIntermediário",Mercado_Receita!$L$2:$L$548)+SUMIF(Mercado_Receita!$S$2:$S$548,"44470B4ConvencionalIluminação públicaIluminação pública – B4aNão se aplicaNão se aplicaNão se aplica",Mercado_Receita!$L$2:$L$548)</f>
        <v>398.983</v>
      </c>
      <c r="K47" s="13">
        <f>SUMIF(Mercado_Receita!$S$2:$S$548,"44501B4ConvencionalIluminação públicaIluminação pública – B4aNão se aplicaNão se aplicaPonta",Mercado_Receita!$L$2:$L$548)+SUMIF(Mercado_Receita!$S$2:$S$548,"44501B4ConvencionalIluminação públicaIluminação pública – B4aNão se aplicaNão se aplicaFora ponta",Mercado_Receita!$L$2:$L$548)+SUMIF(Mercado_Receita!$S$2:$S$548,"44501B4ConvencionalIluminação públicaIluminação pública – B4aNão se aplicaNão se aplicaIntermediário",Mercado_Receita!$L$2:$L$548)+SUMIF(Mercado_Receita!$S$2:$S$548,"44501B4ConvencionalIluminação públicaIluminação pública – B4aNão se aplicaNão se aplicaNão se aplica",Mercado_Receita!$L$2:$L$548)</f>
        <v>370.55399999999997</v>
      </c>
      <c r="L47" s="13">
        <f>SUMIF(Mercado_Receita!$S$2:$S$548,"44531B4ConvencionalIluminação públicaIluminação pública – B4aNão se aplicaNão se aplicaPonta",Mercado_Receita!$L$2:$L$548)+SUMIF(Mercado_Receita!$S$2:$S$548,"44531B4ConvencionalIluminação públicaIluminação pública – B4aNão se aplicaNão se aplicaFora ponta",Mercado_Receita!$L$2:$L$548)+SUMIF(Mercado_Receita!$S$2:$S$548,"44531B4ConvencionalIluminação públicaIluminação pública – B4aNão se aplicaNão se aplicaIntermediário",Mercado_Receita!$L$2:$L$548)+SUMIF(Mercado_Receita!$S$2:$S$548,"44531B4ConvencionalIluminação públicaIluminação pública – B4aNão se aplicaNão se aplicaNão se aplica",Mercado_Receita!$L$2:$L$548)</f>
        <v>359.423</v>
      </c>
      <c r="M47" s="13">
        <f>SUMIF(Mercado_Receita!$S$2:$S$548,"44562B4ConvencionalIluminação públicaIluminação pública – B4aNão se aplicaNão se aplicaPonta",Mercado_Receita!$L$2:$L$548)+SUMIF(Mercado_Receita!$S$2:$S$548,"44562B4ConvencionalIluminação públicaIluminação pública – B4aNão se aplicaNão se aplicaFora ponta",Mercado_Receita!$L$2:$L$548)+SUMIF(Mercado_Receita!$S$2:$S$548,"44562B4ConvencionalIluminação públicaIluminação pública – B4aNão se aplicaNão se aplicaIntermediário",Mercado_Receita!$L$2:$L$548)+SUMIF(Mercado_Receita!$S$2:$S$548,"44562B4ConvencionalIluminação públicaIluminação pública – B4aNão se aplicaNão se aplicaNão se aplica",Mercado_Receita!$L$2:$L$548)</f>
        <v>364.65699999999998</v>
      </c>
      <c r="N47" s="13">
        <f>SUMIF(Mercado_Receita!$S$2:$S$548,"44593B4ConvencionalIluminação públicaIluminação pública – B4aNão se aplicaNão se aplicaPonta",Mercado_Receita!$L$2:$L$548)+SUMIF(Mercado_Receita!$S$2:$S$548,"44593B4ConvencionalIluminação públicaIluminação pública – B4aNão se aplicaNão se aplicaFora ponta",Mercado_Receita!$L$2:$L$548)+SUMIF(Mercado_Receita!$S$2:$S$548,"44593B4ConvencionalIluminação públicaIluminação pública – B4aNão se aplicaNão se aplicaIntermediário",Mercado_Receita!$L$2:$L$548)+SUMIF(Mercado_Receita!$S$2:$S$548,"44593B4ConvencionalIluminação públicaIluminação pública – B4aNão se aplicaNão se aplicaNão se aplica",Mercado_Receita!$L$2:$L$548)</f>
        <v>388.91399999999999</v>
      </c>
      <c r="O47" s="13">
        <f>SUMIF(Mercado_Receita!$S$2:$S$548,"44621B4ConvencionalIluminação públicaIluminação pública – B4aNão se aplicaNão se aplicaPonta",Mercado_Receita!$L$2:$L$548)+SUMIF(Mercado_Receita!$S$2:$S$548,"44621B4ConvencionalIluminação públicaIluminação pública – B4aNão se aplicaNão se aplicaFora ponta",Mercado_Receita!$L$2:$L$548)+SUMIF(Mercado_Receita!$S$2:$S$548,"44621B4ConvencionalIluminação públicaIluminação pública – B4aNão se aplicaNão se aplicaIntermediário",Mercado_Receita!$L$2:$L$548)+SUMIF(Mercado_Receita!$S$2:$S$548,"44621B4ConvencionalIluminação públicaIluminação pública – B4aNão se aplicaNão se aplicaNão se aplica",Mercado_Receita!$L$2:$L$548)</f>
        <v>420.53800000000001</v>
      </c>
      <c r="P47" s="13">
        <f>SUMIF(Mercado_Receita!$S$2:$S$548,"44652B4ConvencionalIluminação públicaIluminação pública – B4aNão se aplicaNão se aplicaPonta",Mercado_Receita!$L$2:$L$548)+SUMIF(Mercado_Receita!$S$2:$S$548,"44652B4ConvencionalIluminação públicaIluminação pública – B4aNão se aplicaNão se aplicaFora ponta",Mercado_Receita!$L$2:$L$548)+SUMIF(Mercado_Receita!$S$2:$S$548,"44652B4ConvencionalIluminação públicaIluminação pública – B4aNão se aplicaNão se aplicaIntermediário",Mercado_Receita!$L$2:$L$548)+SUMIF(Mercado_Receita!$S$2:$S$548,"44652B4ConvencionalIluminação públicaIluminação pública – B4aNão se aplicaNão se aplicaNão se aplica",Mercado_Receita!$L$2:$L$548)</f>
        <v>452.99599999999998</v>
      </c>
      <c r="Q47" s="13">
        <f>SUMIF(Mercado_Receita!$S$2:$S$548,"44682B4ConvencionalIluminação públicaIluminação pública – B4aNão se aplicaNão se aplicaPonta",Mercado_Receita!$L$2:$L$548)+SUMIF(Mercado_Receita!$S$2:$S$548,"44682B4ConvencionalIluminação públicaIluminação pública – B4aNão se aplicaNão se aplicaFora ponta",Mercado_Receita!$L$2:$L$548)+SUMIF(Mercado_Receita!$S$2:$S$548,"44682B4ConvencionalIluminação públicaIluminação pública – B4aNão se aplicaNão se aplicaIntermediário",Mercado_Receita!$L$2:$L$548)+SUMIF(Mercado_Receita!$S$2:$S$548,"44682B4ConvencionalIluminação públicaIluminação pública – B4aNão se aplicaNão se aplicaNão se aplica",Mercado_Receita!$L$2:$L$548)</f>
        <v>479.12</v>
      </c>
      <c r="R47" s="13">
        <f>SUMIF(Mercado_Receita!$S$2:$S$548,"44713B4ConvencionalIluminação públicaIluminação pública – B4aNão se aplicaNão se aplicaPonta",Mercado_Receita!$L$2:$L$548)+SUMIF(Mercado_Receita!$S$2:$S$548,"44713B4ConvencionalIluminação públicaIluminação pública – B4aNão se aplicaNão se aplicaFora ponta",Mercado_Receita!$L$2:$L$548)+SUMIF(Mercado_Receita!$S$2:$S$548,"44713B4ConvencionalIluminação públicaIluminação pública – B4aNão se aplicaNão se aplicaIntermediário",Mercado_Receita!$L$2:$L$548)+SUMIF(Mercado_Receita!$S$2:$S$548,"44713B4ConvencionalIluminação públicaIluminação pública – B4aNão se aplicaNão se aplicaNão se aplica",Mercado_Receita!$L$2:$L$548)</f>
        <v>492.63400000000001</v>
      </c>
      <c r="S47" s="13">
        <f>SUMIF(Mercado_Receita!$S$2:$S$548,"44743B4ConvencionalIluminação públicaIluminação pública – B4aNão se aplicaNão se aplicaPonta",Mercado_Receita!$L$2:$L$548)+SUMIF(Mercado_Receita!$S$2:$S$548,"44743B4ConvencionalIluminação públicaIluminação pública – B4aNão se aplicaNão se aplicaFora ponta",Mercado_Receita!$L$2:$L$548)+SUMIF(Mercado_Receita!$S$2:$S$548,"44743B4ConvencionalIluminação públicaIluminação pública – B4aNão se aplicaNão se aplicaIntermediário",Mercado_Receita!$L$2:$L$548)+SUMIF(Mercado_Receita!$S$2:$S$548,"44743B4ConvencionalIluminação públicaIluminação pública – B4aNão se aplicaNão se aplicaNão se aplica",Mercado_Receita!$L$2:$L$548)</f>
        <v>488.19900000000001</v>
      </c>
      <c r="T47" s="13">
        <f>SUMIF(Mercado_Receita!$S$2:$S$548,"44774B4ConvencionalIluminação públicaIluminação pública – B4aNão se aplicaNão se aplicaPonta",Mercado_Receita!$L$2:$L$548)+SUMIF(Mercado_Receita!$S$2:$S$548,"44774B4ConvencionalIluminação públicaIluminação pública – B4aNão se aplicaNão se aplicaFora ponta",Mercado_Receita!$L$2:$L$548)+SUMIF(Mercado_Receita!$S$2:$S$548,"44774B4ConvencionalIluminação públicaIluminação pública – B4aNão se aplicaNão se aplicaIntermediário",Mercado_Receita!$L$2:$L$548)+SUMIF(Mercado_Receita!$S$2:$S$548,"44774B4ConvencionalIluminação públicaIluminação pública – B4aNão se aplicaNão se aplicaNão se aplica",Mercado_Receita!$L$2:$L$548)</f>
        <v>488.19900000000001</v>
      </c>
      <c r="U47" s="13">
        <f t="shared" si="0"/>
        <v>5137.0619999999999</v>
      </c>
      <c r="V47" s="13"/>
      <c r="W47" s="13"/>
    </row>
    <row r="48" spans="1:23" ht="11.25" customHeight="1" x14ac:dyDescent="0.25">
      <c r="A48" s="77"/>
      <c r="B48" s="77"/>
      <c r="C48" s="77"/>
      <c r="D48" s="13" t="s">
        <v>90</v>
      </c>
      <c r="E48" s="13" t="s">
        <v>25</v>
      </c>
      <c r="F48" s="13" t="s">
        <v>25</v>
      </c>
      <c r="G48" s="13" t="s">
        <v>78</v>
      </c>
      <c r="H48" s="13" t="s">
        <v>72</v>
      </c>
      <c r="I48" s="13">
        <f>SUMIF(Mercado_Receita!$S$2:$S$548,"44440B4ConvencionalIluminação públicaIluminação pública – B4bNão se aplicaNão se aplicaPonta",Mercado_Receita!$L$2:$L$548)+SUMIF(Mercado_Receita!$S$2:$S$548,"44440B4ConvencionalIluminação públicaIluminação pública – B4bNão se aplicaNão se aplicaFora ponta",Mercado_Receita!$L$2:$L$548)+SUMIF(Mercado_Receita!$S$2:$S$548,"44440B4ConvencionalIluminação públicaIluminação pública – B4bNão se aplicaNão se aplicaIntermediário",Mercado_Receita!$L$2:$L$548)+SUMIF(Mercado_Receita!$S$2:$S$548,"44440B4ConvencionalIluminação públicaIluminação pública – B4bNão se aplicaNão se aplicaNão se aplica",Mercado_Receita!$L$2:$L$548)</f>
        <v>0</v>
      </c>
      <c r="J48" s="13">
        <f>SUMIF(Mercado_Receita!$S$2:$S$548,"44470B4ConvencionalIluminação públicaIluminação pública – B4bNão se aplicaNão se aplicaPonta",Mercado_Receita!$L$2:$L$548)+SUMIF(Mercado_Receita!$S$2:$S$548,"44470B4ConvencionalIluminação públicaIluminação pública – B4bNão se aplicaNão se aplicaFora ponta",Mercado_Receita!$L$2:$L$548)+SUMIF(Mercado_Receita!$S$2:$S$548,"44470B4ConvencionalIluminação públicaIluminação pública – B4bNão se aplicaNão se aplicaIntermediário",Mercado_Receita!$L$2:$L$548)+SUMIF(Mercado_Receita!$S$2:$S$548,"44470B4ConvencionalIluminação públicaIluminação pública – B4bNão se aplicaNão se aplicaNão se aplica",Mercado_Receita!$L$2:$L$548)</f>
        <v>0</v>
      </c>
      <c r="K48" s="13">
        <f>SUMIF(Mercado_Receita!$S$2:$S$548,"44501B4ConvencionalIluminação públicaIluminação pública – B4bNão se aplicaNão se aplicaPonta",Mercado_Receita!$L$2:$L$548)+SUMIF(Mercado_Receita!$S$2:$S$548,"44501B4ConvencionalIluminação públicaIluminação pública – B4bNão se aplicaNão se aplicaFora ponta",Mercado_Receita!$L$2:$L$548)+SUMIF(Mercado_Receita!$S$2:$S$548,"44501B4ConvencionalIluminação públicaIluminação pública – B4bNão se aplicaNão se aplicaIntermediário",Mercado_Receita!$L$2:$L$548)+SUMIF(Mercado_Receita!$S$2:$S$548,"44501B4ConvencionalIluminação públicaIluminação pública – B4bNão se aplicaNão se aplicaNão se aplica",Mercado_Receita!$L$2:$L$548)</f>
        <v>0</v>
      </c>
      <c r="L48" s="13">
        <f>SUMIF(Mercado_Receita!$S$2:$S$548,"44531B4ConvencionalIluminação públicaIluminação pública – B4bNão se aplicaNão se aplicaPonta",Mercado_Receita!$L$2:$L$548)+SUMIF(Mercado_Receita!$S$2:$S$548,"44531B4ConvencionalIluminação públicaIluminação pública – B4bNão se aplicaNão se aplicaFora ponta",Mercado_Receita!$L$2:$L$548)+SUMIF(Mercado_Receita!$S$2:$S$548,"44531B4ConvencionalIluminação públicaIluminação pública – B4bNão se aplicaNão se aplicaIntermediário",Mercado_Receita!$L$2:$L$548)+SUMIF(Mercado_Receita!$S$2:$S$548,"44531B4ConvencionalIluminação públicaIluminação pública – B4bNão se aplicaNão se aplicaNão se aplica",Mercado_Receita!$L$2:$L$548)</f>
        <v>0</v>
      </c>
      <c r="M48" s="13">
        <f>SUMIF(Mercado_Receita!$S$2:$S$548,"44562B4ConvencionalIluminação públicaIluminação pública – B4bNão se aplicaNão se aplicaPonta",Mercado_Receita!$L$2:$L$548)+SUMIF(Mercado_Receita!$S$2:$S$548,"44562B4ConvencionalIluminação públicaIluminação pública – B4bNão se aplicaNão se aplicaFora ponta",Mercado_Receita!$L$2:$L$548)+SUMIF(Mercado_Receita!$S$2:$S$548,"44562B4ConvencionalIluminação públicaIluminação pública – B4bNão se aplicaNão se aplicaIntermediário",Mercado_Receita!$L$2:$L$548)+SUMIF(Mercado_Receita!$S$2:$S$548,"44562B4ConvencionalIluminação públicaIluminação pública – B4bNão se aplicaNão se aplicaNão se aplica",Mercado_Receita!$L$2:$L$548)</f>
        <v>0</v>
      </c>
      <c r="N48" s="13">
        <f>SUMIF(Mercado_Receita!$S$2:$S$548,"44593B4ConvencionalIluminação públicaIluminação pública – B4bNão se aplicaNão se aplicaPonta",Mercado_Receita!$L$2:$L$548)+SUMIF(Mercado_Receita!$S$2:$S$548,"44593B4ConvencionalIluminação públicaIluminação pública – B4bNão se aplicaNão se aplicaFora ponta",Mercado_Receita!$L$2:$L$548)+SUMIF(Mercado_Receita!$S$2:$S$548,"44593B4ConvencionalIluminação públicaIluminação pública – B4bNão se aplicaNão se aplicaIntermediário",Mercado_Receita!$L$2:$L$548)+SUMIF(Mercado_Receita!$S$2:$S$548,"44593B4ConvencionalIluminação públicaIluminação pública – B4bNão se aplicaNão se aplicaNão se aplica",Mercado_Receita!$L$2:$L$548)</f>
        <v>0</v>
      </c>
      <c r="O48" s="13">
        <f>SUMIF(Mercado_Receita!$S$2:$S$548,"44621B4ConvencionalIluminação públicaIluminação pública – B4bNão se aplicaNão se aplicaPonta",Mercado_Receita!$L$2:$L$548)+SUMIF(Mercado_Receita!$S$2:$S$548,"44621B4ConvencionalIluminação públicaIluminação pública – B4bNão se aplicaNão se aplicaFora ponta",Mercado_Receita!$L$2:$L$548)+SUMIF(Mercado_Receita!$S$2:$S$548,"44621B4ConvencionalIluminação públicaIluminação pública – B4bNão se aplicaNão se aplicaIntermediário",Mercado_Receita!$L$2:$L$548)+SUMIF(Mercado_Receita!$S$2:$S$548,"44621B4ConvencionalIluminação públicaIluminação pública – B4bNão se aplicaNão se aplicaNão se aplica",Mercado_Receita!$L$2:$L$548)</f>
        <v>0</v>
      </c>
      <c r="P48" s="13">
        <f>SUMIF(Mercado_Receita!$S$2:$S$548,"44652B4ConvencionalIluminação públicaIluminação pública – B4bNão se aplicaNão se aplicaPonta",Mercado_Receita!$L$2:$L$548)+SUMIF(Mercado_Receita!$S$2:$S$548,"44652B4ConvencionalIluminação públicaIluminação pública – B4bNão se aplicaNão se aplicaFora ponta",Mercado_Receita!$L$2:$L$548)+SUMIF(Mercado_Receita!$S$2:$S$548,"44652B4ConvencionalIluminação públicaIluminação pública – B4bNão se aplicaNão se aplicaIntermediário",Mercado_Receita!$L$2:$L$548)+SUMIF(Mercado_Receita!$S$2:$S$548,"44652B4ConvencionalIluminação públicaIluminação pública – B4bNão se aplicaNão se aplicaNão se aplica",Mercado_Receita!$L$2:$L$548)</f>
        <v>0</v>
      </c>
      <c r="Q48" s="13">
        <f>SUMIF(Mercado_Receita!$S$2:$S$548,"44682B4ConvencionalIluminação públicaIluminação pública – B4bNão se aplicaNão se aplicaPonta",Mercado_Receita!$L$2:$L$548)+SUMIF(Mercado_Receita!$S$2:$S$548,"44682B4ConvencionalIluminação públicaIluminação pública – B4bNão se aplicaNão se aplicaFora ponta",Mercado_Receita!$L$2:$L$548)+SUMIF(Mercado_Receita!$S$2:$S$548,"44682B4ConvencionalIluminação públicaIluminação pública – B4bNão se aplicaNão se aplicaIntermediário",Mercado_Receita!$L$2:$L$548)+SUMIF(Mercado_Receita!$S$2:$S$548,"44682B4ConvencionalIluminação públicaIluminação pública – B4bNão se aplicaNão se aplicaNão se aplica",Mercado_Receita!$L$2:$L$548)</f>
        <v>0</v>
      </c>
      <c r="R48" s="13">
        <f>SUMIF(Mercado_Receita!$S$2:$S$548,"44713B4ConvencionalIluminação públicaIluminação pública – B4bNão se aplicaNão se aplicaPonta",Mercado_Receita!$L$2:$L$548)+SUMIF(Mercado_Receita!$S$2:$S$548,"44713B4ConvencionalIluminação públicaIluminação pública – B4bNão se aplicaNão se aplicaFora ponta",Mercado_Receita!$L$2:$L$548)+SUMIF(Mercado_Receita!$S$2:$S$548,"44713B4ConvencionalIluminação públicaIluminação pública – B4bNão se aplicaNão se aplicaIntermediário",Mercado_Receita!$L$2:$L$548)+SUMIF(Mercado_Receita!$S$2:$S$548,"44713B4ConvencionalIluminação públicaIluminação pública – B4bNão se aplicaNão se aplicaNão se aplica",Mercado_Receita!$L$2:$L$548)</f>
        <v>0</v>
      </c>
      <c r="S48" s="13">
        <f>SUMIF(Mercado_Receita!$S$2:$S$548,"44743B4ConvencionalIluminação públicaIluminação pública – B4bNão se aplicaNão se aplicaPonta",Mercado_Receita!$L$2:$L$548)+SUMIF(Mercado_Receita!$S$2:$S$548,"44743B4ConvencionalIluminação públicaIluminação pública – B4bNão se aplicaNão se aplicaFora ponta",Mercado_Receita!$L$2:$L$548)+SUMIF(Mercado_Receita!$S$2:$S$548,"44743B4ConvencionalIluminação públicaIluminação pública – B4bNão se aplicaNão se aplicaIntermediário",Mercado_Receita!$L$2:$L$548)+SUMIF(Mercado_Receita!$S$2:$S$548,"44743B4ConvencionalIluminação públicaIluminação pública – B4bNão se aplicaNão se aplicaNão se aplica",Mercado_Receita!$L$2:$L$548)</f>
        <v>0</v>
      </c>
      <c r="T48" s="13">
        <f>SUMIF(Mercado_Receita!$S$2:$S$548,"44774B4ConvencionalIluminação públicaIluminação pública – B4bNão se aplicaNão se aplicaPonta",Mercado_Receita!$L$2:$L$548)+SUMIF(Mercado_Receita!$S$2:$S$548,"44774B4ConvencionalIluminação públicaIluminação pública – B4bNão se aplicaNão se aplicaFora ponta",Mercado_Receita!$L$2:$L$548)+SUMIF(Mercado_Receita!$S$2:$S$548,"44774B4ConvencionalIluminação públicaIluminação pública – B4bNão se aplicaNão se aplicaIntermediário",Mercado_Receita!$L$2:$L$548)+SUMIF(Mercado_Receita!$S$2:$S$548,"44774B4ConvencionalIluminação públicaIluminação pública – B4bNão se aplicaNão se aplicaNão se aplica",Mercado_Receita!$L$2:$L$548)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8" t="s">
        <v>445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B93-9325-4C55-9829-05D2781DA1A0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71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73</v>
      </c>
      <c r="H2" s="13" t="s">
        <v>72</v>
      </c>
      <c r="I2" s="13">
        <f>SUMIF(Mercado_Receita!$T$2:$T$548,"44440A4Energia horáriaNão se aplicaNão se aplicaNão se aplicaNão se aplicaPonta",Mercado_Receita!$N$2:$N$548)</f>
        <v>158.06699999999998</v>
      </c>
      <c r="J2" s="13">
        <f>SUMIF(Mercado_Receita!$T$2:$T$548,"44470A4Energia horáriaNão se aplicaNão se aplicaNão se aplicaNão se aplicaPonta",Mercado_Receita!$N$2:$N$548)</f>
        <v>145.14600000000002</v>
      </c>
      <c r="K2" s="13">
        <f>SUMIF(Mercado_Receita!$T$2:$T$548,"44501A4Energia horáriaNão se aplicaNão se aplicaNão se aplicaNão se aplicaPonta",Mercado_Receita!$N$2:$N$548)</f>
        <v>149.24799999999999</v>
      </c>
      <c r="L2" s="13">
        <f>SUMIF(Mercado_Receita!$T$2:$T$548,"44531A4Energia horáriaNão se aplicaNão se aplicaNão se aplicaNão se aplicaPonta",Mercado_Receita!$N$2:$N$548)</f>
        <v>150.399</v>
      </c>
      <c r="M2" s="13">
        <f>SUMIF(Mercado_Receita!$T$2:$T$548,"44562A4Energia horáriaNão se aplicaNão se aplicaNão se aplicaNão se aplicaPonta",Mercado_Receita!$N$2:$N$548)</f>
        <v>134.64600000000002</v>
      </c>
      <c r="N2" s="13">
        <f>SUMIF(Mercado_Receita!$T$2:$T$548,"44593A4Energia horáriaNão se aplicaNão se aplicaNão se aplicaNão se aplicaPonta",Mercado_Receita!$N$2:$N$548)</f>
        <v>97.881</v>
      </c>
      <c r="O2" s="13">
        <f>SUMIF(Mercado_Receita!$T$2:$T$548,"44621A4Energia horáriaNão se aplicaNão se aplicaNão se aplicaNão se aplicaPonta",Mercado_Receita!$N$2:$N$548)</f>
        <v>94.661000000000001</v>
      </c>
      <c r="P2" s="13">
        <f>SUMIF(Mercado_Receita!$T$2:$T$548,"44652A4Energia horáriaNão se aplicaNão se aplicaNão se aplicaNão se aplicaPonta",Mercado_Receita!$N$2:$N$548)</f>
        <v>111.175</v>
      </c>
      <c r="Q2" s="13">
        <f>SUMIF(Mercado_Receita!$T$2:$T$548,"44682A4Energia horáriaNão se aplicaNão se aplicaNão se aplicaNão se aplicaPonta",Mercado_Receita!$N$2:$N$548)</f>
        <v>109.532</v>
      </c>
      <c r="R2" s="13">
        <f>SUMIF(Mercado_Receita!$T$2:$T$548,"44713A4Energia horáriaNão se aplicaNão se aplicaNão se aplicaNão se aplicaPonta",Mercado_Receita!$N$2:$N$548)</f>
        <v>102.254</v>
      </c>
      <c r="S2" s="13">
        <f>SUMIF(Mercado_Receita!$T$2:$T$548,"44743A4Energia horáriaNão se aplicaNão se aplicaNão se aplicaNão se aplicaPonta",Mercado_Receita!$N$2:$N$548)</f>
        <v>128.31700000000001</v>
      </c>
      <c r="T2" s="13">
        <f>SUMIF(Mercado_Receita!$T$2:$T$548,"44774A4Energia horáriaNão se aplicaNão se aplicaNão se aplicaNão se aplicaPonta",Mercado_Receita!$N$2:$N$548)</f>
        <v>128.31700000000001</v>
      </c>
      <c r="U2" s="13">
        <f t="shared" ref="U2:U38" si="0">SUM(I2:T2)</f>
        <v>1509.6429999999996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74</v>
      </c>
      <c r="H3" s="13" t="s">
        <v>72</v>
      </c>
      <c r="I3" s="13">
        <f>SUMIF(Mercado_Receita!$T$2:$T$548,"44440A4Energia horáriaNão se aplicaNão se aplicaNão se aplicaNão se aplicaFora ponta",Mercado_Receita!$N$2:$N$548)</f>
        <v>7473.237000000001</v>
      </c>
      <c r="J3" s="13">
        <f>SUMIF(Mercado_Receita!$T$2:$T$548,"44470A4Energia horáriaNão se aplicaNão se aplicaNão se aplicaNão se aplicaFora ponta",Mercado_Receita!$N$2:$N$548)</f>
        <v>7586.116</v>
      </c>
      <c r="K3" s="13">
        <f>SUMIF(Mercado_Receita!$T$2:$T$548,"44501A4Energia horáriaNão se aplicaNão se aplicaNão se aplicaNão se aplicaFora ponta",Mercado_Receita!$N$2:$N$548)</f>
        <v>7649.5950000000003</v>
      </c>
      <c r="L3" s="13">
        <f>SUMIF(Mercado_Receita!$T$2:$T$548,"44531A4Energia horáriaNão se aplicaNão se aplicaNão se aplicaNão se aplicaFora ponta",Mercado_Receita!$N$2:$N$548)</f>
        <v>7352.5250000000005</v>
      </c>
      <c r="M3" s="13">
        <f>SUMIF(Mercado_Receita!$T$2:$T$548,"44562A4Energia horáriaNão se aplicaNão se aplicaNão se aplicaNão se aplicaFora ponta",Mercado_Receita!$N$2:$N$548)</f>
        <v>6693.9610000000002</v>
      </c>
      <c r="N3" s="13">
        <f>SUMIF(Mercado_Receita!$T$2:$T$548,"44593A4Energia horáriaNão se aplicaNão se aplicaNão se aplicaNão se aplicaFora ponta",Mercado_Receita!$N$2:$N$548)</f>
        <v>6831.7089999999998</v>
      </c>
      <c r="O3" s="13">
        <f>SUMIF(Mercado_Receita!$T$2:$T$548,"44621A4Energia horáriaNão se aplicaNão se aplicaNão se aplicaNão se aplicaFora ponta",Mercado_Receita!$N$2:$N$548)</f>
        <v>6833.9580000000005</v>
      </c>
      <c r="P3" s="13">
        <f>SUMIF(Mercado_Receita!$T$2:$T$548,"44652A4Energia horáriaNão se aplicaNão se aplicaNão se aplicaNão se aplicaFora ponta",Mercado_Receita!$N$2:$N$548)</f>
        <v>7584.2849999999989</v>
      </c>
      <c r="Q3" s="13">
        <f>SUMIF(Mercado_Receita!$T$2:$T$548,"44682A4Energia horáriaNão se aplicaNão se aplicaNão se aplicaNão se aplicaFora ponta",Mercado_Receita!$N$2:$N$548)</f>
        <v>7498.1289999999999</v>
      </c>
      <c r="R3" s="13">
        <f>SUMIF(Mercado_Receita!$T$2:$T$548,"44713A4Energia horáriaNão se aplicaNão se aplicaNão se aplicaNão se aplicaFora ponta",Mercado_Receita!$N$2:$N$548)</f>
        <v>7928.7800000000007</v>
      </c>
      <c r="S3" s="13">
        <f>SUMIF(Mercado_Receita!$T$2:$T$548,"44743A4Energia horáriaNão se aplicaNão se aplicaNão se aplicaNão se aplicaFora ponta",Mercado_Receita!$N$2:$N$548)</f>
        <v>7721.3249999999989</v>
      </c>
      <c r="T3" s="13">
        <f>SUMIF(Mercado_Receita!$T$2:$T$548,"44774A4Energia horáriaNão se aplicaNão se aplicaNão se aplicaNão se aplicaFora ponta",Mercado_Receita!$N$2:$N$548)</f>
        <v>7721.3249999999989</v>
      </c>
      <c r="U3" s="13">
        <f t="shared" si="0"/>
        <v>88874.944999999992</v>
      </c>
      <c r="V3" s="13"/>
      <c r="W3" s="13"/>
    </row>
    <row r="4" spans="1:30" ht="11.25" customHeight="1" x14ac:dyDescent="0.25">
      <c r="A4" s="76" t="s">
        <v>22</v>
      </c>
      <c r="B4" s="76" t="s">
        <v>71</v>
      </c>
      <c r="C4" s="76" t="s">
        <v>24</v>
      </c>
      <c r="D4" s="76" t="s">
        <v>24</v>
      </c>
      <c r="E4" s="76" t="s">
        <v>25</v>
      </c>
      <c r="F4" s="76" t="s">
        <v>25</v>
      </c>
      <c r="G4" s="13" t="s">
        <v>73</v>
      </c>
      <c r="H4" s="13" t="s">
        <v>72</v>
      </c>
      <c r="I4" s="13">
        <f>SUMIF(Mercado_Receita!$T$2:$T$548,"44440B1Energia horáriaResidencialResidencialNão se aplicaNão se aplicaPonta",Mercado_Receita!$N$2:$N$548)</f>
        <v>0</v>
      </c>
      <c r="J4" s="13">
        <f>SUMIF(Mercado_Receita!$T$2:$T$548,"44470B1Energia horáriaResidencialResidencialNão se aplicaNão se aplicaPonta",Mercado_Receita!$N$2:$N$548)</f>
        <v>0</v>
      </c>
      <c r="K4" s="13">
        <f>SUMIF(Mercado_Receita!$T$2:$T$548,"44501B1Energia horáriaResidencialResidencialNão se aplicaNão se aplicaPonta",Mercado_Receita!$N$2:$N$548)</f>
        <v>0</v>
      </c>
      <c r="L4" s="13">
        <f>SUMIF(Mercado_Receita!$T$2:$T$548,"44531B1Energia horáriaResidencialResidencialNão se aplicaNão se aplicaPonta",Mercado_Receita!$N$2:$N$548)</f>
        <v>0</v>
      </c>
      <c r="M4" s="13">
        <f>SUMIF(Mercado_Receita!$T$2:$T$548,"44562B1Energia horáriaResidencialResidencialNão se aplicaNão se aplicaPonta",Mercado_Receita!$N$2:$N$548)</f>
        <v>0</v>
      </c>
      <c r="N4" s="13">
        <f>SUMIF(Mercado_Receita!$T$2:$T$548,"44593B1Energia horáriaResidencialResidencialNão se aplicaNão se aplicaPonta",Mercado_Receita!$N$2:$N$548)</f>
        <v>0</v>
      </c>
      <c r="O4" s="13">
        <f>SUMIF(Mercado_Receita!$T$2:$T$548,"44621B1Energia horáriaResidencialResidencialNão se aplicaNão se aplicaPonta",Mercado_Receita!$N$2:$N$548)</f>
        <v>0</v>
      </c>
      <c r="P4" s="13">
        <f>SUMIF(Mercado_Receita!$T$2:$T$548,"44652B1Energia horáriaResidencialResidencialNão se aplicaNão se aplicaPonta",Mercado_Receita!$N$2:$N$548)</f>
        <v>0</v>
      </c>
      <c r="Q4" s="13">
        <f>SUMIF(Mercado_Receita!$T$2:$T$548,"44682B1Energia horáriaResidencialResidencialNão se aplicaNão se aplicaPonta",Mercado_Receita!$N$2:$N$548)</f>
        <v>0</v>
      </c>
      <c r="R4" s="13">
        <f>SUMIF(Mercado_Receita!$T$2:$T$548,"44713B1Energia horáriaResidencialResidencialNão se aplicaNão se aplicaPonta",Mercado_Receita!$N$2:$N$548)</f>
        <v>0</v>
      </c>
      <c r="S4" s="13">
        <f>SUMIF(Mercado_Receita!$T$2:$T$548,"44743B1Energia horáriaResidencialResidencialNão se aplicaNão se aplicaPonta",Mercado_Receita!$N$2:$N$548)</f>
        <v>0</v>
      </c>
      <c r="T4" s="13">
        <f>SUMIF(Mercado_Receita!$T$2:$T$548,"44774B1Energia horáriaResidencialResidencialNão se aplicaNão se aplicaPonta",Mercado_Receita!$N$2:$N$548)</f>
        <v>0</v>
      </c>
      <c r="U4" s="13">
        <f t="shared" si="0"/>
        <v>0</v>
      </c>
      <c r="V4" s="13"/>
      <c r="W4" s="13"/>
    </row>
    <row r="5" spans="1:30" ht="11.25" customHeight="1" x14ac:dyDescent="0.25">
      <c r="A5" s="77"/>
      <c r="B5" s="77"/>
      <c r="C5" s="77"/>
      <c r="D5" s="77"/>
      <c r="E5" s="77"/>
      <c r="F5" s="77"/>
      <c r="G5" s="13" t="s">
        <v>84</v>
      </c>
      <c r="H5" s="13" t="s">
        <v>72</v>
      </c>
      <c r="I5" s="13">
        <f>SUMIF(Mercado_Receita!$T$2:$T$548,"44440B1Energia horáriaResidencialResidencialNão se aplicaNão se aplicaIntermediário",Mercado_Receita!$N$2:$N$548)</f>
        <v>0</v>
      </c>
      <c r="J5" s="13">
        <f>SUMIF(Mercado_Receita!$T$2:$T$548,"44470B1Energia horáriaResidencialResidencialNão se aplicaNão se aplicaIntermediário",Mercado_Receita!$N$2:$N$548)</f>
        <v>0</v>
      </c>
      <c r="K5" s="13">
        <f>SUMIF(Mercado_Receita!$T$2:$T$548,"44501B1Energia horáriaResidencialResidencialNão se aplicaNão se aplicaIntermediário",Mercado_Receita!$N$2:$N$548)</f>
        <v>0</v>
      </c>
      <c r="L5" s="13">
        <f>SUMIF(Mercado_Receita!$T$2:$T$548,"44531B1Energia horáriaResidencialResidencialNão se aplicaNão se aplicaIntermediário",Mercado_Receita!$N$2:$N$548)</f>
        <v>0</v>
      </c>
      <c r="M5" s="13">
        <f>SUMIF(Mercado_Receita!$T$2:$T$548,"44562B1Energia horáriaResidencialResidencialNão se aplicaNão se aplicaIntermediário",Mercado_Receita!$N$2:$N$548)</f>
        <v>0</v>
      </c>
      <c r="N5" s="13">
        <f>SUMIF(Mercado_Receita!$T$2:$T$548,"44593B1Energia horáriaResidencialResidencialNão se aplicaNão se aplicaIntermediário",Mercado_Receita!$N$2:$N$548)</f>
        <v>0</v>
      </c>
      <c r="O5" s="13">
        <f>SUMIF(Mercado_Receita!$T$2:$T$548,"44621B1Energia horáriaResidencialResidencialNão se aplicaNão se aplicaIntermediário",Mercado_Receita!$N$2:$N$548)</f>
        <v>0</v>
      </c>
      <c r="P5" s="13">
        <f>SUMIF(Mercado_Receita!$T$2:$T$548,"44652B1Energia horáriaResidencialResidencialNão se aplicaNão se aplicaIntermediário",Mercado_Receita!$N$2:$N$548)</f>
        <v>0</v>
      </c>
      <c r="Q5" s="13">
        <f>SUMIF(Mercado_Receita!$T$2:$T$548,"44682B1Energia horáriaResidencialResidencialNão se aplicaNão se aplicaIntermediário",Mercado_Receita!$N$2:$N$548)</f>
        <v>0</v>
      </c>
      <c r="R5" s="13">
        <f>SUMIF(Mercado_Receita!$T$2:$T$548,"44713B1Energia horáriaResidencialResidencialNão se aplicaNão se aplicaIntermediário",Mercado_Receita!$N$2:$N$548)</f>
        <v>0</v>
      </c>
      <c r="S5" s="13">
        <f>SUMIF(Mercado_Receita!$T$2:$T$548,"44743B1Energia horáriaResidencialResidencialNão se aplicaNão se aplicaIntermediário",Mercado_Receita!$N$2:$N$548)</f>
        <v>0</v>
      </c>
      <c r="T5" s="13">
        <f>SUMIF(Mercado_Receita!$T$2:$T$548,"44774B1Energia horáriaResidencialResidencialNão se aplicaNão se aplicaIntermediário",Mercado_Receita!$N$2:$N$548)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77"/>
      <c r="C6" s="77"/>
      <c r="D6" s="77"/>
      <c r="E6" s="77"/>
      <c r="F6" s="77"/>
      <c r="G6" s="13" t="s">
        <v>74</v>
      </c>
      <c r="H6" s="13" t="s">
        <v>72</v>
      </c>
      <c r="I6" s="13">
        <f>SUMIF(Mercado_Receita!$T$2:$T$548,"44440B1Energia horáriaResidencialResidencialNão se aplicaNão se aplicaFora ponta",Mercado_Receita!$N$2:$N$548)</f>
        <v>0</v>
      </c>
      <c r="J6" s="13">
        <f>SUMIF(Mercado_Receita!$T$2:$T$548,"44470B1Energia horáriaResidencialResidencialNão se aplicaNão se aplicaFora ponta",Mercado_Receita!$N$2:$N$548)</f>
        <v>0</v>
      </c>
      <c r="K6" s="13">
        <f>SUMIF(Mercado_Receita!$T$2:$T$548,"44501B1Energia horáriaResidencialResidencialNão se aplicaNão se aplicaFora ponta",Mercado_Receita!$N$2:$N$548)</f>
        <v>0</v>
      </c>
      <c r="L6" s="13">
        <f>SUMIF(Mercado_Receita!$T$2:$T$548,"44531B1Energia horáriaResidencialResidencialNão se aplicaNão se aplicaFora ponta",Mercado_Receita!$N$2:$N$548)</f>
        <v>0</v>
      </c>
      <c r="M6" s="13">
        <f>SUMIF(Mercado_Receita!$T$2:$T$548,"44562B1Energia horáriaResidencialResidencialNão se aplicaNão se aplicaFora ponta",Mercado_Receita!$N$2:$N$548)</f>
        <v>0</v>
      </c>
      <c r="N6" s="13">
        <f>SUMIF(Mercado_Receita!$T$2:$T$548,"44593B1Energia horáriaResidencialResidencialNão se aplicaNão se aplicaFora ponta",Mercado_Receita!$N$2:$N$548)</f>
        <v>0</v>
      </c>
      <c r="O6" s="13">
        <f>SUMIF(Mercado_Receita!$T$2:$T$548,"44621B1Energia horáriaResidencialResidencialNão se aplicaNão se aplicaFora ponta",Mercado_Receita!$N$2:$N$548)</f>
        <v>0</v>
      </c>
      <c r="P6" s="13">
        <f>SUMIF(Mercado_Receita!$T$2:$T$548,"44652B1Energia horáriaResidencialResidencialNão se aplicaNão se aplicaFora ponta",Mercado_Receita!$N$2:$N$548)</f>
        <v>0</v>
      </c>
      <c r="Q6" s="13">
        <f>SUMIF(Mercado_Receita!$T$2:$T$548,"44682B1Energia horáriaResidencialResidencialNão se aplicaNão se aplicaFora ponta",Mercado_Receita!$N$2:$N$548)</f>
        <v>0</v>
      </c>
      <c r="R6" s="13">
        <f>SUMIF(Mercado_Receita!$T$2:$T$548,"44713B1Energia horáriaResidencialResidencialNão se aplicaNão se aplicaFora ponta",Mercado_Receita!$N$2:$N$548)</f>
        <v>0</v>
      </c>
      <c r="S6" s="13">
        <f>SUMIF(Mercado_Receita!$T$2:$T$548,"44743B1Energia horáriaResidencialResidencialNão se aplicaNão se aplicaFora ponta",Mercado_Receita!$N$2:$N$548)</f>
        <v>0</v>
      </c>
      <c r="T6" s="13">
        <f>SUMIF(Mercado_Receita!$T$2:$T$548,"44774B1Energia horáriaResidencialResidencialNão se aplicaNão se aplicaFora ponta",Mercado_Receita!$N$2:$N$548)</f>
        <v>0</v>
      </c>
      <c r="U6" s="13">
        <f t="shared" si="0"/>
        <v>0</v>
      </c>
      <c r="V6" s="13"/>
      <c r="W6" s="13"/>
    </row>
    <row r="7" spans="1:30" ht="11.25" customHeight="1" x14ac:dyDescent="0.25">
      <c r="A7" s="77"/>
      <c r="B7" s="76" t="s">
        <v>85</v>
      </c>
      <c r="C7" s="76" t="s">
        <v>24</v>
      </c>
      <c r="D7" s="12" t="s">
        <v>24</v>
      </c>
      <c r="E7" s="12" t="s">
        <v>25</v>
      </c>
      <c r="F7" s="12" t="s">
        <v>25</v>
      </c>
      <c r="G7" s="13" t="s">
        <v>78</v>
      </c>
      <c r="H7" s="13" t="s">
        <v>72</v>
      </c>
      <c r="I7" s="13">
        <f>SUMIF(Mercado_Receita!$T$2:$T$548,"44440B1Energia convencionalResidencialResidencialNão se aplicaNão se aplicaNão se aplica",Mercado_Receita!$N$2:$N$548)</f>
        <v>2357.0360000000001</v>
      </c>
      <c r="J7" s="13">
        <f>SUMIF(Mercado_Receita!$T$2:$T$548,"44470B1Energia convencionalResidencialResidencialNão se aplicaNão se aplicaNão se aplica",Mercado_Receita!$N$2:$N$548)</f>
        <v>2328.5419999999999</v>
      </c>
      <c r="K7" s="13">
        <f>SUMIF(Mercado_Receita!$T$2:$T$548,"44501B1Energia convencionalResidencialResidencialNão se aplicaNão se aplicaNão se aplica",Mercado_Receita!$N$2:$N$548)</f>
        <v>2292.4160000000002</v>
      </c>
      <c r="L7" s="13">
        <f>SUMIF(Mercado_Receita!$T$2:$T$548,"44531B1Energia convencionalResidencialResidencialNão se aplicaNão se aplicaNão se aplica",Mercado_Receita!$N$2:$N$548)</f>
        <v>2454.9779999999996</v>
      </c>
      <c r="M7" s="13">
        <f>SUMIF(Mercado_Receita!$T$2:$T$548,"44562B1Energia convencionalResidencialResidencialNão se aplicaNão se aplicaNão se aplica",Mercado_Receita!$N$2:$N$548)</f>
        <v>2983.828</v>
      </c>
      <c r="N7" s="13">
        <f>SUMIF(Mercado_Receita!$T$2:$T$548,"44593B1Energia convencionalResidencialResidencialNão se aplicaNão se aplicaNão se aplica",Mercado_Receita!$N$2:$N$548)</f>
        <v>3012.11</v>
      </c>
      <c r="O7" s="13">
        <f>SUMIF(Mercado_Receita!$T$2:$T$548,"44621B1Energia convencionalResidencialResidencialNão se aplicaNão se aplicaNão se aplica",Mercado_Receita!$N$2:$N$548)</f>
        <v>2771.1080000000002</v>
      </c>
      <c r="P7" s="13">
        <f>SUMIF(Mercado_Receita!$T$2:$T$548,"44652B1Energia convencionalResidencialResidencialNão se aplicaNão se aplicaNão se aplica",Mercado_Receita!$N$2:$N$548)</f>
        <v>2423.7610000000004</v>
      </c>
      <c r="Q7" s="13">
        <f>SUMIF(Mercado_Receita!$T$2:$T$548,"44682B1Energia convencionalResidencialResidencialNão se aplicaNão se aplicaNão se aplica",Mercado_Receita!$N$2:$N$548)</f>
        <v>2213.8559999999998</v>
      </c>
      <c r="R7" s="13">
        <f>SUMIF(Mercado_Receita!$T$2:$T$548,"44713B1Energia convencionalResidencialResidencialNão se aplicaNão se aplicaNão se aplica",Mercado_Receita!$N$2:$N$548)</f>
        <v>2505.1860000000001</v>
      </c>
      <c r="S7" s="13">
        <f>SUMIF(Mercado_Receita!$T$2:$T$548,"44743B1Energia convencionalResidencialResidencialNão se aplicaNão se aplicaNão se aplica",Mercado_Receita!$N$2:$N$548)</f>
        <v>2414.7069999999999</v>
      </c>
      <c r="T7" s="13">
        <f>SUMIF(Mercado_Receita!$T$2:$T$548,"44774B1Energia convencionalResidencialResidencialNão se aplicaNão se aplicaNão se aplica",Mercado_Receita!$N$2:$N$548)</f>
        <v>2414.7069999999999</v>
      </c>
      <c r="U7" s="13">
        <f t="shared" si="0"/>
        <v>30172.235000000001</v>
      </c>
      <c r="V7" s="13"/>
      <c r="W7" s="13"/>
    </row>
    <row r="8" spans="1:30" ht="11.25" customHeight="1" x14ac:dyDescent="0.25">
      <c r="A8" s="77"/>
      <c r="B8" s="77"/>
      <c r="C8" s="77"/>
      <c r="D8" s="12" t="s">
        <v>29</v>
      </c>
      <c r="E8" s="12" t="s">
        <v>25</v>
      </c>
      <c r="F8" s="12" t="s">
        <v>25</v>
      </c>
      <c r="G8" s="13" t="s">
        <v>78</v>
      </c>
      <c r="H8" s="13" t="s">
        <v>72</v>
      </c>
      <c r="I8" s="13">
        <f>SUMIF(Mercado_Receita!$T$2:$T$548,"44440B1Energia convencionalResidencialResidencial baixa renda – faixa 01Não se aplicaNão se aplicaNão se aplica",Mercado_Receita!$N$2:$N$548)</f>
        <v>15.03</v>
      </c>
      <c r="J8" s="13">
        <f>SUMIF(Mercado_Receita!$T$2:$T$548,"44470B1Energia convencionalResidencialResidencial baixa renda – faixa 01Não se aplicaNão se aplicaNão se aplica",Mercado_Receita!$N$2:$N$548)</f>
        <v>15.36</v>
      </c>
      <c r="K8" s="13">
        <f>SUMIF(Mercado_Receita!$T$2:$T$548,"44501B1Energia convencionalResidencialResidencial baixa renda – faixa 01Não se aplicaNão se aplicaNão se aplica",Mercado_Receita!$N$2:$N$548)</f>
        <v>15.48</v>
      </c>
      <c r="L8" s="13">
        <f>SUMIF(Mercado_Receita!$T$2:$T$548,"44531B1Energia convencionalResidencialResidencial baixa renda – faixa 01Não se aplicaNão se aplicaNão se aplica",Mercado_Receita!$N$2:$N$548)</f>
        <v>15.587999999999999</v>
      </c>
      <c r="M8" s="13">
        <f>SUMIF(Mercado_Receita!$T$2:$T$548,"44562B1Energia convencionalResidencialResidencial baixa renda – faixa 01Não se aplicaNão se aplicaNão se aplica",Mercado_Receita!$N$2:$N$548)</f>
        <v>15.54</v>
      </c>
      <c r="N8" s="13">
        <f>SUMIF(Mercado_Receita!$T$2:$T$548,"44593B1Energia convencionalResidencialResidencial baixa renda – faixa 01Não se aplicaNão se aplicaNão se aplica",Mercado_Receita!$N$2:$N$548)</f>
        <v>15.72</v>
      </c>
      <c r="O8" s="13">
        <f>SUMIF(Mercado_Receita!$T$2:$T$548,"44621B1Energia convencionalResidencialResidencial baixa renda – faixa 01Não se aplicaNão se aplicaNão se aplica",Mercado_Receita!$N$2:$N$548)</f>
        <v>16.2</v>
      </c>
      <c r="P8" s="13">
        <f>SUMIF(Mercado_Receita!$T$2:$T$548,"44652B1Energia convencionalResidencialResidencial baixa renda – faixa 01Não se aplicaNão se aplicaNão se aplica",Mercado_Receita!$N$2:$N$548)</f>
        <v>16.71</v>
      </c>
      <c r="Q8" s="13">
        <f>SUMIF(Mercado_Receita!$T$2:$T$548,"44682B1Energia convencionalResidencialResidencial baixa renda – faixa 01Não se aplicaNão se aplicaNão se aplica",Mercado_Receita!$N$2:$N$548)</f>
        <v>18.239999999999998</v>
      </c>
      <c r="R8" s="13">
        <f>SUMIF(Mercado_Receita!$T$2:$T$548,"44713B1Energia convencionalResidencialResidencial baixa renda – faixa 01Não se aplicaNão se aplicaNão se aplica",Mercado_Receita!$N$2:$N$548)</f>
        <v>15.809999999999999</v>
      </c>
      <c r="S8" s="13">
        <f>SUMIF(Mercado_Receita!$T$2:$T$548,"44743B1Energia convencionalResidencialResidencial baixa renda – faixa 01Não se aplicaNão se aplicaNão se aplica",Mercado_Receita!$N$2:$N$548)</f>
        <v>16.05</v>
      </c>
      <c r="T8" s="13">
        <f>SUMIF(Mercado_Receita!$T$2:$T$548,"44774B1Energia convencionalResidencialResidencial baixa renda – faixa 01Não se aplicaNão se aplicaNão se aplica",Mercado_Receita!$N$2:$N$548)</f>
        <v>16.05</v>
      </c>
      <c r="U8" s="13">
        <f t="shared" si="0"/>
        <v>191.77800000000005</v>
      </c>
      <c r="V8" s="13"/>
      <c r="W8" s="13"/>
    </row>
    <row r="9" spans="1:30" ht="11.25" customHeight="1" x14ac:dyDescent="0.25">
      <c r="A9" s="77"/>
      <c r="B9" s="77"/>
      <c r="C9" s="77"/>
      <c r="D9" s="12" t="s">
        <v>30</v>
      </c>
      <c r="E9" s="12" t="s">
        <v>25</v>
      </c>
      <c r="F9" s="12" t="s">
        <v>25</v>
      </c>
      <c r="G9" s="13" t="s">
        <v>78</v>
      </c>
      <c r="H9" s="13" t="s">
        <v>72</v>
      </c>
      <c r="I9" s="13">
        <f>SUMIF(Mercado_Receita!$T$2:$T$548,"44440B1Energia convencionalResidencialResidencial baixa renda – faixa 02Não se aplicaNão se aplicaNão se aplica",Mercado_Receita!$N$2:$N$548)</f>
        <v>32.567999999999998</v>
      </c>
      <c r="J9" s="13">
        <f>SUMIF(Mercado_Receita!$T$2:$T$548,"44470B1Energia convencionalResidencialResidencial baixa renda – faixa 02Não se aplicaNão se aplicaNão se aplica",Mercado_Receita!$N$2:$N$548)</f>
        <v>33.546999999999997</v>
      </c>
      <c r="K9" s="13">
        <f>SUMIF(Mercado_Receita!$T$2:$T$548,"44501B1Energia convencionalResidencialResidencial baixa renda – faixa 02Não se aplicaNão se aplicaNão se aplica",Mercado_Receita!$N$2:$N$548)</f>
        <v>34.073</v>
      </c>
      <c r="L9" s="13">
        <f>SUMIF(Mercado_Receita!$T$2:$T$548,"44531B1Energia convencionalResidencialResidencial baixa renda – faixa 02Não se aplicaNão se aplicaNão se aplica",Mercado_Receita!$N$2:$N$548)</f>
        <v>34.677</v>
      </c>
      <c r="M9" s="13">
        <f>SUMIF(Mercado_Receita!$T$2:$T$548,"44562B1Energia convencionalResidencialResidencial baixa renda – faixa 02Não se aplicaNão se aplicaNão se aplica",Mercado_Receita!$N$2:$N$548)</f>
        <v>35.03</v>
      </c>
      <c r="N9" s="13">
        <f>SUMIF(Mercado_Receita!$T$2:$T$548,"44593B1Energia convencionalResidencialResidencial baixa renda – faixa 02Não se aplicaNão se aplicaNão se aplica",Mercado_Receita!$N$2:$N$548)</f>
        <v>35.380000000000003</v>
      </c>
      <c r="O9" s="13">
        <f>SUMIF(Mercado_Receita!$T$2:$T$548,"44621B1Energia convencionalResidencialResidencial baixa renda – faixa 02Não se aplicaNão se aplicaNão se aplica",Mercado_Receita!$N$2:$N$548)</f>
        <v>36.417999999999999</v>
      </c>
      <c r="P9" s="13">
        <f>SUMIF(Mercado_Receita!$T$2:$T$548,"44652B1Energia convencionalResidencialResidencial baixa renda – faixa 02Não se aplicaNão se aplicaNão se aplica",Mercado_Receita!$N$2:$N$548)</f>
        <v>37.302</v>
      </c>
      <c r="Q9" s="13">
        <f>SUMIF(Mercado_Receita!$T$2:$T$548,"44682B1Energia convencionalResidencialResidencial baixa renda – faixa 02Não se aplicaNão se aplicaNão se aplica",Mercado_Receita!$N$2:$N$548)</f>
        <v>38.965000000000003</v>
      </c>
      <c r="R9" s="13">
        <f>SUMIF(Mercado_Receita!$T$2:$T$548,"44713B1Energia convencionalResidencialResidencial baixa renda – faixa 02Não se aplicaNão se aplicaNão se aplica",Mercado_Receita!$N$2:$N$548)</f>
        <v>33.945</v>
      </c>
      <c r="S9" s="13">
        <f>SUMIF(Mercado_Receita!$T$2:$T$548,"44743B1Energia convencionalResidencialResidencial baixa renda – faixa 02Não se aplicaNão se aplicaNão se aplica",Mercado_Receita!$N$2:$N$548)</f>
        <v>34.945</v>
      </c>
      <c r="T9" s="13">
        <f>SUMIF(Mercado_Receita!$T$2:$T$548,"44774B1Energia convencionalResidencialResidencial baixa renda – faixa 02Não se aplicaNão se aplicaNão se aplica",Mercado_Receita!$N$2:$N$548)</f>
        <v>34.945</v>
      </c>
      <c r="U9" s="13">
        <f t="shared" si="0"/>
        <v>421.79500000000002</v>
      </c>
      <c r="V9" s="13"/>
      <c r="W9" s="13"/>
    </row>
    <row r="10" spans="1:30" ht="11.25" customHeight="1" x14ac:dyDescent="0.25">
      <c r="A10" s="77"/>
      <c r="B10" s="77"/>
      <c r="C10" s="77"/>
      <c r="D10" s="12" t="s">
        <v>31</v>
      </c>
      <c r="E10" s="12" t="s">
        <v>25</v>
      </c>
      <c r="F10" s="12" t="s">
        <v>25</v>
      </c>
      <c r="G10" s="13" t="s">
        <v>78</v>
      </c>
      <c r="H10" s="13" t="s">
        <v>72</v>
      </c>
      <c r="I10" s="13">
        <f>SUMIF(Mercado_Receita!$T$2:$T$548,"44440B1Energia convencionalResidencialResidencial baixa renda – faixa 03Não se aplicaNão se aplicaNão se aplica",Mercado_Receita!$N$2:$N$548)</f>
        <v>37.183</v>
      </c>
      <c r="J10" s="13">
        <f>SUMIF(Mercado_Receita!$T$2:$T$548,"44470B1Energia convencionalResidencialResidencial baixa renda – faixa 03Não se aplicaNão se aplicaNão se aplica",Mercado_Receita!$N$2:$N$548)</f>
        <v>36.729999999999997</v>
      </c>
      <c r="K10" s="13">
        <f>SUMIF(Mercado_Receita!$T$2:$T$548,"44501B1Energia convencionalResidencialResidencial baixa renda – faixa 03Não se aplicaNão se aplicaNão se aplica",Mercado_Receita!$N$2:$N$548)</f>
        <v>38.276000000000003</v>
      </c>
      <c r="L10" s="13">
        <f>SUMIF(Mercado_Receita!$T$2:$T$548,"44531B1Energia convencionalResidencialResidencial baixa renda – faixa 03Não se aplicaNão se aplicaNão se aplica",Mercado_Receita!$N$2:$N$548)</f>
        <v>40.531000000000006</v>
      </c>
      <c r="M10" s="13">
        <f>SUMIF(Mercado_Receita!$T$2:$T$548,"44562B1Energia convencionalResidencialResidencial baixa renda – faixa 03Não se aplicaNão se aplicaNão se aplica",Mercado_Receita!$N$2:$N$548)</f>
        <v>46.091999999999999</v>
      </c>
      <c r="N10" s="13">
        <f>SUMIF(Mercado_Receita!$T$2:$T$548,"44593B1Energia convencionalResidencialResidencial baixa renda – faixa 03Não se aplicaNão se aplicaNão se aplica",Mercado_Receita!$N$2:$N$548)</f>
        <v>45.088000000000001</v>
      </c>
      <c r="O10" s="13">
        <f>SUMIF(Mercado_Receita!$T$2:$T$548,"44621B1Energia convencionalResidencialResidencial baixa renda – faixa 03Não se aplicaNão se aplicaNão se aplica",Mercado_Receita!$N$2:$N$548)</f>
        <v>44.936</v>
      </c>
      <c r="P10" s="13">
        <f>SUMIF(Mercado_Receita!$T$2:$T$548,"44652B1Energia convencionalResidencialResidencial baixa renda – faixa 03Não se aplicaNão se aplicaNão se aplica",Mercado_Receita!$N$2:$N$548)</f>
        <v>44.447000000000003</v>
      </c>
      <c r="Q10" s="13">
        <f>SUMIF(Mercado_Receita!$T$2:$T$548,"44682B1Energia convencionalResidencialResidencial baixa renda – faixa 03Não se aplicaNão se aplicaNão se aplica",Mercado_Receita!$N$2:$N$548)</f>
        <v>40.914999999999999</v>
      </c>
      <c r="R10" s="13">
        <f>SUMIF(Mercado_Receita!$T$2:$T$548,"44713B1Energia convencionalResidencialResidencial baixa renda – faixa 03Não se aplicaNão se aplicaNão se aplica",Mercado_Receita!$N$2:$N$548)</f>
        <v>37.824000000000005</v>
      </c>
      <c r="S10" s="13">
        <f>SUMIF(Mercado_Receita!$T$2:$T$548,"44743B1Energia convencionalResidencialResidencial baixa renda – faixa 03Não se aplicaNão se aplicaNão se aplica",Mercado_Receita!$N$2:$N$548)</f>
        <v>37.46</v>
      </c>
      <c r="T10" s="13">
        <f>SUMIF(Mercado_Receita!$T$2:$T$548,"44774B1Energia convencionalResidencialResidencial baixa renda – faixa 03Não se aplicaNão se aplicaNão se aplica",Mercado_Receita!$N$2:$N$548)</f>
        <v>37.46</v>
      </c>
      <c r="U10" s="13">
        <f t="shared" si="0"/>
        <v>486.94200000000001</v>
      </c>
      <c r="V10" s="13"/>
      <c r="W10" s="13"/>
    </row>
    <row r="11" spans="1:30" ht="11.25" customHeight="1" x14ac:dyDescent="0.25">
      <c r="A11" s="77"/>
      <c r="B11" s="77"/>
      <c r="C11" s="77"/>
      <c r="D11" s="12" t="s">
        <v>32</v>
      </c>
      <c r="E11" s="12" t="s">
        <v>25</v>
      </c>
      <c r="F11" s="12" t="s">
        <v>25</v>
      </c>
      <c r="G11" s="13" t="s">
        <v>78</v>
      </c>
      <c r="H11" s="13" t="s">
        <v>72</v>
      </c>
      <c r="I11" s="13">
        <f>SUMIF(Mercado_Receita!$T$2:$T$548,"44440B1Energia convencionalResidencialResidencial baixa renda – faixa 04Não se aplicaNão se aplicaNão se aplica",Mercado_Receita!$N$2:$N$548)</f>
        <v>14.227</v>
      </c>
      <c r="J11" s="13">
        <f>SUMIF(Mercado_Receita!$T$2:$T$548,"44470B1Energia convencionalResidencialResidencial baixa renda – faixa 04Não se aplicaNão se aplicaNão se aplica",Mercado_Receita!$N$2:$N$548)</f>
        <v>13.853</v>
      </c>
      <c r="K11" s="13">
        <f>SUMIF(Mercado_Receita!$T$2:$T$548,"44501B1Energia convencionalResidencialResidencial baixa renda – faixa 04Não se aplicaNão se aplicaNão se aplica",Mercado_Receita!$N$2:$N$548)</f>
        <v>13.950999999999999</v>
      </c>
      <c r="L11" s="13">
        <f>SUMIF(Mercado_Receita!$T$2:$T$548,"44531B1Energia convencionalResidencialResidencial baixa renda – faixa 04Não se aplicaNão se aplicaNão se aplica",Mercado_Receita!$N$2:$N$548)</f>
        <v>17.533999999999999</v>
      </c>
      <c r="M11" s="13">
        <f>SUMIF(Mercado_Receita!$T$2:$T$548,"44562B1Energia convencionalResidencialResidencial baixa renda – faixa 04Não se aplicaNão se aplicaNão se aplica",Mercado_Receita!$N$2:$N$548)</f>
        <v>30.530999999999999</v>
      </c>
      <c r="N11" s="13">
        <f>SUMIF(Mercado_Receita!$T$2:$T$548,"44593B1Energia convencionalResidencialResidencial baixa renda – faixa 04Não se aplicaNão se aplicaNão se aplica",Mercado_Receita!$N$2:$N$548)</f>
        <v>28.343</v>
      </c>
      <c r="O11" s="13">
        <f>SUMIF(Mercado_Receita!$T$2:$T$548,"44621B1Energia convencionalResidencialResidencial baixa renda – faixa 04Não se aplicaNão se aplicaNão se aplica",Mercado_Receita!$N$2:$N$548)</f>
        <v>24.643999999999998</v>
      </c>
      <c r="P11" s="13">
        <f>SUMIF(Mercado_Receita!$T$2:$T$548,"44652B1Energia convencionalResidencialResidencial baixa renda – faixa 04Não se aplicaNão se aplicaNão se aplica",Mercado_Receita!$N$2:$N$548)</f>
        <v>19.66</v>
      </c>
      <c r="Q11" s="13">
        <f>SUMIF(Mercado_Receita!$T$2:$T$548,"44682B1Energia convencionalResidencialResidencial baixa renda – faixa 04Não se aplicaNão se aplicaNão se aplica",Mercado_Receita!$N$2:$N$548)</f>
        <v>13.004</v>
      </c>
      <c r="R11" s="13">
        <f>SUMIF(Mercado_Receita!$T$2:$T$548,"44713B1Energia convencionalResidencialResidencial baixa renda – faixa 04Não se aplicaNão se aplicaNão se aplica",Mercado_Receita!$N$2:$N$548)</f>
        <v>18.832000000000001</v>
      </c>
      <c r="S11" s="13">
        <f>SUMIF(Mercado_Receita!$T$2:$T$548,"44743B1Energia convencionalResidencialResidencial baixa renda – faixa 04Não se aplicaNão se aplicaNão se aplica",Mercado_Receita!$N$2:$N$548)</f>
        <v>19.305</v>
      </c>
      <c r="T11" s="13">
        <f>SUMIF(Mercado_Receita!$T$2:$T$548,"44774B1Energia convencionalResidencialResidencial baixa renda – faixa 04Não se aplicaNão se aplicaNão se aplica",Mercado_Receita!$N$2:$N$548)</f>
        <v>19.305</v>
      </c>
      <c r="U11" s="13">
        <f t="shared" si="0"/>
        <v>233.18899999999999</v>
      </c>
      <c r="V11" s="13"/>
      <c r="W11" s="13"/>
    </row>
    <row r="12" spans="1:30" ht="11.25" customHeight="1" x14ac:dyDescent="0.25">
      <c r="A12" s="77"/>
      <c r="B12" s="76" t="s">
        <v>86</v>
      </c>
      <c r="C12" s="76" t="s">
        <v>24</v>
      </c>
      <c r="D12" s="12" t="s">
        <v>24</v>
      </c>
      <c r="E12" s="12" t="s">
        <v>25</v>
      </c>
      <c r="F12" s="12" t="s">
        <v>25</v>
      </c>
      <c r="G12" s="13" t="s">
        <v>78</v>
      </c>
      <c r="H12" s="13" t="s">
        <v>72</v>
      </c>
      <c r="I12" s="13">
        <f>SUMIF(Mercado_Receita!$T$2:$T$548,"44440B1Energia convencional pré-pagamentoResidencialResidencialNão se aplicaNão se aplicaNão se aplica",Mercado_Receita!$N$2:$N$548)</f>
        <v>0</v>
      </c>
      <c r="J12" s="13">
        <f>SUMIF(Mercado_Receita!$T$2:$T$548,"44470B1Energia convencional pré-pagamentoResidencialResidencialNão se aplicaNão se aplicaNão se aplica",Mercado_Receita!$N$2:$N$548)</f>
        <v>0</v>
      </c>
      <c r="K12" s="13">
        <f>SUMIF(Mercado_Receita!$T$2:$T$548,"44501B1Energia convencional pré-pagamentoResidencialResidencialNão se aplicaNão se aplicaNão se aplica",Mercado_Receita!$N$2:$N$548)</f>
        <v>0</v>
      </c>
      <c r="L12" s="13">
        <f>SUMIF(Mercado_Receita!$T$2:$T$548,"44531B1Energia convencional pré-pagamentoResidencialResidencialNão se aplicaNão se aplicaNão se aplica",Mercado_Receita!$N$2:$N$548)</f>
        <v>0</v>
      </c>
      <c r="M12" s="13">
        <f>SUMIF(Mercado_Receita!$T$2:$T$548,"44562B1Energia convencional pré-pagamentoResidencialResidencialNão se aplicaNão se aplicaNão se aplica",Mercado_Receita!$N$2:$N$548)</f>
        <v>0</v>
      </c>
      <c r="N12" s="13">
        <f>SUMIF(Mercado_Receita!$T$2:$T$548,"44593B1Energia convencional pré-pagamentoResidencialResidencialNão se aplicaNão se aplicaNão se aplica",Mercado_Receita!$N$2:$N$548)</f>
        <v>0</v>
      </c>
      <c r="O12" s="13">
        <f>SUMIF(Mercado_Receita!$T$2:$T$548,"44621B1Energia convencional pré-pagamentoResidencialResidencialNão se aplicaNão se aplicaNão se aplica",Mercado_Receita!$N$2:$N$548)</f>
        <v>0</v>
      </c>
      <c r="P12" s="13">
        <f>SUMIF(Mercado_Receita!$T$2:$T$548,"44652B1Energia convencional pré-pagamentoResidencialResidencialNão se aplicaNão se aplicaNão se aplica",Mercado_Receita!$N$2:$N$548)</f>
        <v>0</v>
      </c>
      <c r="Q12" s="13">
        <f>SUMIF(Mercado_Receita!$T$2:$T$548,"44682B1Energia convencional pré-pagamentoResidencialResidencialNão se aplicaNão se aplicaNão se aplica",Mercado_Receita!$N$2:$N$548)</f>
        <v>0</v>
      </c>
      <c r="R12" s="13">
        <f>SUMIF(Mercado_Receita!$T$2:$T$548,"44713B1Energia convencional pré-pagamentoResidencialResidencialNão se aplicaNão se aplicaNão se aplica",Mercado_Receita!$N$2:$N$548)</f>
        <v>0</v>
      </c>
      <c r="S12" s="13">
        <f>SUMIF(Mercado_Receita!$T$2:$T$548,"44743B1Energia convencional pré-pagamentoResidencialResidencialNão se aplicaNão se aplicaNão se aplica",Mercado_Receita!$N$2:$N$548)</f>
        <v>0</v>
      </c>
      <c r="T12" s="13">
        <f>SUMIF(Mercado_Receita!$T$2:$T$548,"44774B1Energia convencional pré-pagamentoResidencialResidencialNão se aplicaNão se aplicaNão se aplica",Mercado_Receita!$N$2:$N$548)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12" t="s">
        <v>29</v>
      </c>
      <c r="E13" s="12" t="s">
        <v>25</v>
      </c>
      <c r="F13" s="12" t="s">
        <v>25</v>
      </c>
      <c r="G13" s="13" t="s">
        <v>78</v>
      </c>
      <c r="H13" s="13" t="s">
        <v>72</v>
      </c>
      <c r="I13" s="13">
        <f>SUMIF(Mercado_Receita!$T$2:$T$548,"44440B1Energia convencional pré-pagamentoResidencialResidencial baixa renda – faixa 01Não se aplicaNão se aplicaNão se aplica",Mercado_Receita!$N$2:$N$548)</f>
        <v>0</v>
      </c>
      <c r="J13" s="13">
        <f>SUMIF(Mercado_Receita!$T$2:$T$548,"44470B1Energia convencional pré-pagamentoResidencialResidencial baixa renda – faixa 01Não se aplicaNão se aplicaNão se aplica",Mercado_Receita!$N$2:$N$548)</f>
        <v>0</v>
      </c>
      <c r="K13" s="13">
        <f>SUMIF(Mercado_Receita!$T$2:$T$548,"44501B1Energia convencional pré-pagamentoResidencialResidencial baixa renda – faixa 01Não se aplicaNão se aplicaNão se aplica",Mercado_Receita!$N$2:$N$548)</f>
        <v>0</v>
      </c>
      <c r="L13" s="13">
        <f>SUMIF(Mercado_Receita!$T$2:$T$548,"44531B1Energia convencional pré-pagamentoResidencialResidencial baixa renda – faixa 01Não se aplicaNão se aplicaNão se aplica",Mercado_Receita!$N$2:$N$548)</f>
        <v>0</v>
      </c>
      <c r="M13" s="13">
        <f>SUMIF(Mercado_Receita!$T$2:$T$548,"44562B1Energia convencional pré-pagamentoResidencialResidencial baixa renda – faixa 01Não se aplicaNão se aplicaNão se aplica",Mercado_Receita!$N$2:$N$548)</f>
        <v>0</v>
      </c>
      <c r="N13" s="13">
        <f>SUMIF(Mercado_Receita!$T$2:$T$548,"44593B1Energia convencional pré-pagamentoResidencialResidencial baixa renda – faixa 01Não se aplicaNão se aplicaNão se aplica",Mercado_Receita!$N$2:$N$548)</f>
        <v>0</v>
      </c>
      <c r="O13" s="13">
        <f>SUMIF(Mercado_Receita!$T$2:$T$548,"44621B1Energia convencional pré-pagamentoResidencialResidencial baixa renda – faixa 01Não se aplicaNão se aplicaNão se aplica",Mercado_Receita!$N$2:$N$548)</f>
        <v>0</v>
      </c>
      <c r="P13" s="13">
        <f>SUMIF(Mercado_Receita!$T$2:$T$548,"44652B1Energia convencional pré-pagamentoResidencialResidencial baixa renda – faixa 01Não se aplicaNão se aplicaNão se aplica",Mercado_Receita!$N$2:$N$548)</f>
        <v>0</v>
      </c>
      <c r="Q13" s="13">
        <f>SUMIF(Mercado_Receita!$T$2:$T$548,"44682B1Energia convencional pré-pagamentoResidencialResidencial baixa renda – faixa 01Não se aplicaNão se aplicaNão se aplica",Mercado_Receita!$N$2:$N$548)</f>
        <v>0</v>
      </c>
      <c r="R13" s="13">
        <f>SUMIF(Mercado_Receita!$T$2:$T$548,"44713B1Energia convencional pré-pagamentoResidencialResidencial baixa renda – faixa 01Não se aplicaNão se aplicaNão se aplica",Mercado_Receita!$N$2:$N$548)</f>
        <v>0</v>
      </c>
      <c r="S13" s="13">
        <f>SUMIF(Mercado_Receita!$T$2:$T$548,"44743B1Energia convencional pré-pagamentoResidencialResidencial baixa renda – faixa 01Não se aplicaNão se aplicaNão se aplica",Mercado_Receita!$N$2:$N$548)</f>
        <v>0</v>
      </c>
      <c r="T13" s="13">
        <f>SUMIF(Mercado_Receita!$T$2:$T$548,"44774B1Energia convencional pré-pagamentoResidencialResidencial baixa renda – faixa 01Não se aplicaNão se aplicaNão se aplica",Mercado_Receita!$N$2:$N$548)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7"/>
      <c r="B14" s="77"/>
      <c r="C14" s="77"/>
      <c r="D14" s="12" t="s">
        <v>30</v>
      </c>
      <c r="E14" s="12" t="s">
        <v>25</v>
      </c>
      <c r="F14" s="12" t="s">
        <v>25</v>
      </c>
      <c r="G14" s="13" t="s">
        <v>78</v>
      </c>
      <c r="H14" s="13" t="s">
        <v>72</v>
      </c>
      <c r="I14" s="13">
        <f>SUMIF(Mercado_Receita!$T$2:$T$548,"44440B1Energia convencional pré-pagamentoResidencialResidencial baixa renda – faixa 02Não se aplicaNão se aplicaNão se aplica",Mercado_Receita!$N$2:$N$548)</f>
        <v>0</v>
      </c>
      <c r="J14" s="13">
        <f>SUMIF(Mercado_Receita!$T$2:$T$548,"44470B1Energia convencional pré-pagamentoResidencialResidencial baixa renda – faixa 02Não se aplicaNão se aplicaNão se aplica",Mercado_Receita!$N$2:$N$548)</f>
        <v>0</v>
      </c>
      <c r="K14" s="13">
        <f>SUMIF(Mercado_Receita!$T$2:$T$548,"44501B1Energia convencional pré-pagamentoResidencialResidencial baixa renda – faixa 02Não se aplicaNão se aplicaNão se aplica",Mercado_Receita!$N$2:$N$548)</f>
        <v>0</v>
      </c>
      <c r="L14" s="13">
        <f>SUMIF(Mercado_Receita!$T$2:$T$548,"44531B1Energia convencional pré-pagamentoResidencialResidencial baixa renda – faixa 02Não se aplicaNão se aplicaNão se aplica",Mercado_Receita!$N$2:$N$548)</f>
        <v>0</v>
      </c>
      <c r="M14" s="13">
        <f>SUMIF(Mercado_Receita!$T$2:$T$548,"44562B1Energia convencional pré-pagamentoResidencialResidencial baixa renda – faixa 02Não se aplicaNão se aplicaNão se aplica",Mercado_Receita!$N$2:$N$548)</f>
        <v>0</v>
      </c>
      <c r="N14" s="13">
        <f>SUMIF(Mercado_Receita!$T$2:$T$548,"44593B1Energia convencional pré-pagamentoResidencialResidencial baixa renda – faixa 02Não se aplicaNão se aplicaNão se aplica",Mercado_Receita!$N$2:$N$548)</f>
        <v>0</v>
      </c>
      <c r="O14" s="13">
        <f>SUMIF(Mercado_Receita!$T$2:$T$548,"44621B1Energia convencional pré-pagamentoResidencialResidencial baixa renda – faixa 02Não se aplicaNão se aplicaNão se aplica",Mercado_Receita!$N$2:$N$548)</f>
        <v>0</v>
      </c>
      <c r="P14" s="13">
        <f>SUMIF(Mercado_Receita!$T$2:$T$548,"44652B1Energia convencional pré-pagamentoResidencialResidencial baixa renda – faixa 02Não se aplicaNão se aplicaNão se aplica",Mercado_Receita!$N$2:$N$548)</f>
        <v>0</v>
      </c>
      <c r="Q14" s="13">
        <f>SUMIF(Mercado_Receita!$T$2:$T$548,"44682B1Energia convencional pré-pagamentoResidencialResidencial baixa renda – faixa 02Não se aplicaNão se aplicaNão se aplica",Mercado_Receita!$N$2:$N$548)</f>
        <v>0</v>
      </c>
      <c r="R14" s="13">
        <f>SUMIF(Mercado_Receita!$T$2:$T$548,"44713B1Energia convencional pré-pagamentoResidencialResidencial baixa renda – faixa 02Não se aplicaNão se aplicaNão se aplica",Mercado_Receita!$N$2:$N$548)</f>
        <v>0</v>
      </c>
      <c r="S14" s="13">
        <f>SUMIF(Mercado_Receita!$T$2:$T$548,"44743B1Energia convencional pré-pagamentoResidencialResidencial baixa renda – faixa 02Não se aplicaNão se aplicaNão se aplica",Mercado_Receita!$N$2:$N$548)</f>
        <v>0</v>
      </c>
      <c r="T14" s="13">
        <f>SUMIF(Mercado_Receita!$T$2:$T$548,"44774B1Energia convencional pré-pagamentoResidencialResidencial baixa renda – faixa 02Não se aplicaNão se aplicaNão se aplica",Mercado_Receita!$N$2:$N$548)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12" t="s">
        <v>31</v>
      </c>
      <c r="E15" s="12" t="s">
        <v>25</v>
      </c>
      <c r="F15" s="12" t="s">
        <v>25</v>
      </c>
      <c r="G15" s="13" t="s">
        <v>78</v>
      </c>
      <c r="H15" s="13" t="s">
        <v>72</v>
      </c>
      <c r="I15" s="13">
        <f>SUMIF(Mercado_Receita!$T$2:$T$548,"44440B1Energia convencional pré-pagamentoResidencialResidencial baixa renda – faixa 03Não se aplicaNão se aplicaNão se aplica",Mercado_Receita!$N$2:$N$548)</f>
        <v>0</v>
      </c>
      <c r="J15" s="13">
        <f>SUMIF(Mercado_Receita!$T$2:$T$548,"44470B1Energia convencional pré-pagamentoResidencialResidencial baixa renda – faixa 03Não se aplicaNão se aplicaNão se aplica",Mercado_Receita!$N$2:$N$548)</f>
        <v>0</v>
      </c>
      <c r="K15" s="13">
        <f>SUMIF(Mercado_Receita!$T$2:$T$548,"44501B1Energia convencional pré-pagamentoResidencialResidencial baixa renda – faixa 03Não se aplicaNão se aplicaNão se aplica",Mercado_Receita!$N$2:$N$548)</f>
        <v>0</v>
      </c>
      <c r="L15" s="13">
        <f>SUMIF(Mercado_Receita!$T$2:$T$548,"44531B1Energia convencional pré-pagamentoResidencialResidencial baixa renda – faixa 03Não se aplicaNão se aplicaNão se aplica",Mercado_Receita!$N$2:$N$548)</f>
        <v>0</v>
      </c>
      <c r="M15" s="13">
        <f>SUMIF(Mercado_Receita!$T$2:$T$548,"44562B1Energia convencional pré-pagamentoResidencialResidencial baixa renda – faixa 03Não se aplicaNão se aplicaNão se aplica",Mercado_Receita!$N$2:$N$548)</f>
        <v>0</v>
      </c>
      <c r="N15" s="13">
        <f>SUMIF(Mercado_Receita!$T$2:$T$548,"44593B1Energia convencional pré-pagamentoResidencialResidencial baixa renda – faixa 03Não se aplicaNão se aplicaNão se aplica",Mercado_Receita!$N$2:$N$548)</f>
        <v>0</v>
      </c>
      <c r="O15" s="13">
        <f>SUMIF(Mercado_Receita!$T$2:$T$548,"44621B1Energia convencional pré-pagamentoResidencialResidencial baixa renda – faixa 03Não se aplicaNão se aplicaNão se aplica",Mercado_Receita!$N$2:$N$548)</f>
        <v>0</v>
      </c>
      <c r="P15" s="13">
        <f>SUMIF(Mercado_Receita!$T$2:$T$548,"44652B1Energia convencional pré-pagamentoResidencialResidencial baixa renda – faixa 03Não se aplicaNão se aplicaNão se aplica",Mercado_Receita!$N$2:$N$548)</f>
        <v>0</v>
      </c>
      <c r="Q15" s="13">
        <f>SUMIF(Mercado_Receita!$T$2:$T$548,"44682B1Energia convencional pré-pagamentoResidencialResidencial baixa renda – faixa 03Não se aplicaNão se aplicaNão se aplica",Mercado_Receita!$N$2:$N$548)</f>
        <v>0</v>
      </c>
      <c r="R15" s="13">
        <f>SUMIF(Mercado_Receita!$T$2:$T$548,"44713B1Energia convencional pré-pagamentoResidencialResidencial baixa renda – faixa 03Não se aplicaNão se aplicaNão se aplica",Mercado_Receita!$N$2:$N$548)</f>
        <v>0</v>
      </c>
      <c r="S15" s="13">
        <f>SUMIF(Mercado_Receita!$T$2:$T$548,"44743B1Energia convencional pré-pagamentoResidencialResidencial baixa renda – faixa 03Não se aplicaNão se aplicaNão se aplica",Mercado_Receita!$N$2:$N$548)</f>
        <v>0</v>
      </c>
      <c r="T15" s="13">
        <f>SUMIF(Mercado_Receita!$T$2:$T$548,"44774B1Energia convencional pré-pagamentoResidencialResidencial baixa renda – faixa 03Não se aplicaNão se aplicaNão se aplica",Mercado_Receita!$N$2:$N$548)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12" t="s">
        <v>32</v>
      </c>
      <c r="E16" s="12" t="s">
        <v>25</v>
      </c>
      <c r="F16" s="12" t="s">
        <v>25</v>
      </c>
      <c r="G16" s="13" t="s">
        <v>78</v>
      </c>
      <c r="H16" s="13" t="s">
        <v>72</v>
      </c>
      <c r="I16" s="13">
        <f>SUMIF(Mercado_Receita!$T$2:$T$548,"44440B1Energia convencional pré-pagamentoResidencialResidencial baixa renda – faixa 04Não se aplicaNão se aplicaNão se aplica",Mercado_Receita!$N$2:$N$548)</f>
        <v>0</v>
      </c>
      <c r="J16" s="13">
        <f>SUMIF(Mercado_Receita!$T$2:$T$548,"44470B1Energia convencional pré-pagamentoResidencialResidencial baixa renda – faixa 04Não se aplicaNão se aplicaNão se aplica",Mercado_Receita!$N$2:$N$548)</f>
        <v>0</v>
      </c>
      <c r="K16" s="13">
        <f>SUMIF(Mercado_Receita!$T$2:$T$548,"44501B1Energia convencional pré-pagamentoResidencialResidencial baixa renda – faixa 04Não se aplicaNão se aplicaNão se aplica",Mercado_Receita!$N$2:$N$548)</f>
        <v>0</v>
      </c>
      <c r="L16" s="13">
        <f>SUMIF(Mercado_Receita!$T$2:$T$548,"44531B1Energia convencional pré-pagamentoResidencialResidencial baixa renda – faixa 04Não se aplicaNão se aplicaNão se aplica",Mercado_Receita!$N$2:$N$548)</f>
        <v>0</v>
      </c>
      <c r="M16" s="13">
        <f>SUMIF(Mercado_Receita!$T$2:$T$548,"44562B1Energia convencional pré-pagamentoResidencialResidencial baixa renda – faixa 04Não se aplicaNão se aplicaNão se aplica",Mercado_Receita!$N$2:$N$548)</f>
        <v>0</v>
      </c>
      <c r="N16" s="13">
        <f>SUMIF(Mercado_Receita!$T$2:$T$548,"44593B1Energia convencional pré-pagamentoResidencialResidencial baixa renda – faixa 04Não se aplicaNão se aplicaNão se aplica",Mercado_Receita!$N$2:$N$548)</f>
        <v>0</v>
      </c>
      <c r="O16" s="13">
        <f>SUMIF(Mercado_Receita!$T$2:$T$548,"44621B1Energia convencional pré-pagamentoResidencialResidencial baixa renda – faixa 04Não se aplicaNão se aplicaNão se aplica",Mercado_Receita!$N$2:$N$548)</f>
        <v>0</v>
      </c>
      <c r="P16" s="13">
        <f>SUMIF(Mercado_Receita!$T$2:$T$548,"44652B1Energia convencional pré-pagamentoResidencialResidencial baixa renda – faixa 04Não se aplicaNão se aplicaNão se aplica",Mercado_Receita!$N$2:$N$548)</f>
        <v>0</v>
      </c>
      <c r="Q16" s="13">
        <f>SUMIF(Mercado_Receita!$T$2:$T$548,"44682B1Energia convencional pré-pagamentoResidencialResidencial baixa renda – faixa 04Não se aplicaNão se aplicaNão se aplica",Mercado_Receita!$N$2:$N$548)</f>
        <v>0</v>
      </c>
      <c r="R16" s="13">
        <f>SUMIF(Mercado_Receita!$T$2:$T$548,"44713B1Energia convencional pré-pagamentoResidencialResidencial baixa renda – faixa 04Não se aplicaNão se aplicaNão se aplica",Mercado_Receita!$N$2:$N$548)</f>
        <v>0</v>
      </c>
      <c r="S16" s="13">
        <f>SUMIF(Mercado_Receita!$T$2:$T$548,"44743B1Energia convencional pré-pagamentoResidencialResidencial baixa renda – faixa 04Não se aplicaNão se aplicaNão se aplica",Mercado_Receita!$N$2:$N$548)</f>
        <v>0</v>
      </c>
      <c r="T16" s="13">
        <f>SUMIF(Mercado_Receita!$T$2:$T$548,"44774B1Energia convencional pré-pagamentoResidencialResidencial baixa renda – faixa 04Não se aplicaNão se aplicaNão se aplica",Mercado_Receita!$N$2:$N$548)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6" t="s">
        <v>43</v>
      </c>
      <c r="B17" s="76" t="s">
        <v>71</v>
      </c>
      <c r="C17" s="76" t="s">
        <v>44</v>
      </c>
      <c r="D17" s="76" t="s">
        <v>25</v>
      </c>
      <c r="E17" s="76" t="s">
        <v>25</v>
      </c>
      <c r="F17" s="76" t="s">
        <v>25</v>
      </c>
      <c r="G17" s="13" t="s">
        <v>73</v>
      </c>
      <c r="H17" s="13" t="s">
        <v>72</v>
      </c>
      <c r="I17" s="13">
        <f>SUMIF(Mercado_Receita!$T$2:$T$548,"44440B2Energia horáriaRuralNão se aplicaNão se aplicaNão se aplicaPonta",Mercado_Receita!$N$2:$N$548)</f>
        <v>0</v>
      </c>
      <c r="J17" s="13">
        <f>SUMIF(Mercado_Receita!$T$2:$T$548,"44470B2Energia horáriaRuralNão se aplicaNão se aplicaNão se aplicaPonta",Mercado_Receita!$N$2:$N$548)</f>
        <v>0</v>
      </c>
      <c r="K17" s="13">
        <f>SUMIF(Mercado_Receita!$T$2:$T$548,"44501B2Energia horáriaRuralNão se aplicaNão se aplicaNão se aplicaPonta",Mercado_Receita!$N$2:$N$548)</f>
        <v>0</v>
      </c>
      <c r="L17" s="13">
        <f>SUMIF(Mercado_Receita!$T$2:$T$548,"44531B2Energia horáriaRuralNão se aplicaNão se aplicaNão se aplicaPonta",Mercado_Receita!$N$2:$N$548)</f>
        <v>0</v>
      </c>
      <c r="M17" s="13">
        <f>SUMIF(Mercado_Receita!$T$2:$T$548,"44562B2Energia horáriaRuralNão se aplicaNão se aplicaNão se aplicaPonta",Mercado_Receita!$N$2:$N$548)</f>
        <v>0</v>
      </c>
      <c r="N17" s="13">
        <f>SUMIF(Mercado_Receita!$T$2:$T$548,"44593B2Energia horáriaRuralNão se aplicaNão se aplicaNão se aplicaPonta",Mercado_Receita!$N$2:$N$548)</f>
        <v>0</v>
      </c>
      <c r="O17" s="13">
        <f>SUMIF(Mercado_Receita!$T$2:$T$548,"44621B2Energia horáriaRuralNão se aplicaNão se aplicaNão se aplicaPonta",Mercado_Receita!$N$2:$N$548)</f>
        <v>0</v>
      </c>
      <c r="P17" s="13">
        <f>SUMIF(Mercado_Receita!$T$2:$T$548,"44652B2Energia horáriaRuralNão se aplicaNão se aplicaNão se aplicaPonta",Mercado_Receita!$N$2:$N$548)</f>
        <v>0</v>
      </c>
      <c r="Q17" s="13">
        <f>SUMIF(Mercado_Receita!$T$2:$T$548,"44682B2Energia horáriaRuralNão se aplicaNão se aplicaNão se aplicaPonta",Mercado_Receita!$N$2:$N$548)</f>
        <v>0</v>
      </c>
      <c r="R17" s="13">
        <f>SUMIF(Mercado_Receita!$T$2:$T$548,"44713B2Energia horáriaRuralNão se aplicaNão se aplicaNão se aplicaPonta",Mercado_Receita!$N$2:$N$548)</f>
        <v>0</v>
      </c>
      <c r="S17" s="13">
        <f>SUMIF(Mercado_Receita!$T$2:$T$548,"44743B2Energia horáriaRuralNão se aplicaNão se aplicaNão se aplicaPonta",Mercado_Receita!$N$2:$N$548)</f>
        <v>0</v>
      </c>
      <c r="T17" s="13">
        <f>SUMIF(Mercado_Receita!$T$2:$T$548,"44774B2Energia horáriaRuralNão se aplicaNão se aplicaNão se aplicaPonta",Mercado_Receita!$N$2:$N$548)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7"/>
      <c r="B18" s="77"/>
      <c r="C18" s="77"/>
      <c r="D18" s="77"/>
      <c r="E18" s="77"/>
      <c r="F18" s="77"/>
      <c r="G18" s="13" t="s">
        <v>84</v>
      </c>
      <c r="H18" s="13" t="s">
        <v>72</v>
      </c>
      <c r="I18" s="13">
        <f>SUMIF(Mercado_Receita!$T$2:$T$548,"44440B2Energia horáriaRuralNão se aplicaNão se aplicaNão se aplicaIntermediário",Mercado_Receita!$N$2:$N$548)</f>
        <v>0</v>
      </c>
      <c r="J18" s="13">
        <f>SUMIF(Mercado_Receita!$T$2:$T$548,"44470B2Energia horáriaRuralNão se aplicaNão se aplicaNão se aplicaIntermediário",Mercado_Receita!$N$2:$N$548)</f>
        <v>0</v>
      </c>
      <c r="K18" s="13">
        <f>SUMIF(Mercado_Receita!$T$2:$T$548,"44501B2Energia horáriaRuralNão se aplicaNão se aplicaNão se aplicaIntermediário",Mercado_Receita!$N$2:$N$548)</f>
        <v>0</v>
      </c>
      <c r="L18" s="13">
        <f>SUMIF(Mercado_Receita!$T$2:$T$548,"44531B2Energia horáriaRuralNão se aplicaNão se aplicaNão se aplicaIntermediário",Mercado_Receita!$N$2:$N$548)</f>
        <v>0</v>
      </c>
      <c r="M18" s="13">
        <f>SUMIF(Mercado_Receita!$T$2:$T$548,"44562B2Energia horáriaRuralNão se aplicaNão se aplicaNão se aplicaIntermediário",Mercado_Receita!$N$2:$N$548)</f>
        <v>0</v>
      </c>
      <c r="N18" s="13">
        <f>SUMIF(Mercado_Receita!$T$2:$T$548,"44593B2Energia horáriaRuralNão se aplicaNão se aplicaNão se aplicaIntermediário",Mercado_Receita!$N$2:$N$548)</f>
        <v>0</v>
      </c>
      <c r="O18" s="13">
        <f>SUMIF(Mercado_Receita!$T$2:$T$548,"44621B2Energia horáriaRuralNão se aplicaNão se aplicaNão se aplicaIntermediário",Mercado_Receita!$N$2:$N$548)</f>
        <v>0</v>
      </c>
      <c r="P18" s="13">
        <f>SUMIF(Mercado_Receita!$T$2:$T$548,"44652B2Energia horáriaRuralNão se aplicaNão se aplicaNão se aplicaIntermediário",Mercado_Receita!$N$2:$N$548)</f>
        <v>0</v>
      </c>
      <c r="Q18" s="13">
        <f>SUMIF(Mercado_Receita!$T$2:$T$548,"44682B2Energia horáriaRuralNão se aplicaNão se aplicaNão se aplicaIntermediário",Mercado_Receita!$N$2:$N$548)</f>
        <v>0</v>
      </c>
      <c r="R18" s="13">
        <f>SUMIF(Mercado_Receita!$T$2:$T$548,"44713B2Energia horáriaRuralNão se aplicaNão se aplicaNão se aplicaIntermediário",Mercado_Receita!$N$2:$N$548)</f>
        <v>0</v>
      </c>
      <c r="S18" s="13">
        <f>SUMIF(Mercado_Receita!$T$2:$T$548,"44743B2Energia horáriaRuralNão se aplicaNão se aplicaNão se aplicaIntermediário",Mercado_Receita!$N$2:$N$548)</f>
        <v>0</v>
      </c>
      <c r="T18" s="13">
        <f>SUMIF(Mercado_Receita!$T$2:$T$548,"44774B2Energia horáriaRuralNão se aplicaNão se aplicaNão se aplicaIntermediário",Mercado_Receita!$N$2:$N$548)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7"/>
      <c r="B19" s="77"/>
      <c r="C19" s="77"/>
      <c r="D19" s="77"/>
      <c r="E19" s="77"/>
      <c r="F19" s="77"/>
      <c r="G19" s="13" t="s">
        <v>74</v>
      </c>
      <c r="H19" s="13" t="s">
        <v>72</v>
      </c>
      <c r="I19" s="13">
        <f>SUMIF(Mercado_Receita!$T$2:$T$548,"44440B2Energia horáriaRuralNão se aplicaNão se aplicaNão se aplicaFora ponta",Mercado_Receita!$N$2:$N$548)</f>
        <v>0</v>
      </c>
      <c r="J19" s="13">
        <f>SUMIF(Mercado_Receita!$T$2:$T$548,"44470B2Energia horáriaRuralNão se aplicaNão se aplicaNão se aplicaFora ponta",Mercado_Receita!$N$2:$N$548)</f>
        <v>0</v>
      </c>
      <c r="K19" s="13">
        <f>SUMIF(Mercado_Receita!$T$2:$T$548,"44501B2Energia horáriaRuralNão se aplicaNão se aplicaNão se aplicaFora ponta",Mercado_Receita!$N$2:$N$548)</f>
        <v>0</v>
      </c>
      <c r="L19" s="13">
        <f>SUMIF(Mercado_Receita!$T$2:$T$548,"44531B2Energia horáriaRuralNão se aplicaNão se aplicaNão se aplicaFora ponta",Mercado_Receita!$N$2:$N$548)</f>
        <v>0</v>
      </c>
      <c r="M19" s="13">
        <f>SUMIF(Mercado_Receita!$T$2:$T$548,"44562B2Energia horáriaRuralNão se aplicaNão se aplicaNão se aplicaFora ponta",Mercado_Receita!$N$2:$N$548)</f>
        <v>0</v>
      </c>
      <c r="N19" s="13">
        <f>SUMIF(Mercado_Receita!$T$2:$T$548,"44593B2Energia horáriaRuralNão se aplicaNão se aplicaNão se aplicaFora ponta",Mercado_Receita!$N$2:$N$548)</f>
        <v>0</v>
      </c>
      <c r="O19" s="13">
        <f>SUMIF(Mercado_Receita!$T$2:$T$548,"44621B2Energia horáriaRuralNão se aplicaNão se aplicaNão se aplicaFora ponta",Mercado_Receita!$N$2:$N$548)</f>
        <v>0</v>
      </c>
      <c r="P19" s="13">
        <f>SUMIF(Mercado_Receita!$T$2:$T$548,"44652B2Energia horáriaRuralNão se aplicaNão se aplicaNão se aplicaFora ponta",Mercado_Receita!$N$2:$N$548)</f>
        <v>0</v>
      </c>
      <c r="Q19" s="13">
        <f>SUMIF(Mercado_Receita!$T$2:$T$548,"44682B2Energia horáriaRuralNão se aplicaNão se aplicaNão se aplicaFora ponta",Mercado_Receita!$N$2:$N$548)</f>
        <v>0</v>
      </c>
      <c r="R19" s="13">
        <f>SUMIF(Mercado_Receita!$T$2:$T$548,"44713B2Energia horáriaRuralNão se aplicaNão se aplicaNão se aplicaFora ponta",Mercado_Receita!$N$2:$N$548)</f>
        <v>0</v>
      </c>
      <c r="S19" s="13">
        <f>SUMIF(Mercado_Receita!$T$2:$T$548,"44743B2Energia horáriaRuralNão se aplicaNão se aplicaNão se aplicaFora ponta",Mercado_Receita!$N$2:$N$548)</f>
        <v>0</v>
      </c>
      <c r="T19" s="13">
        <f>SUMIF(Mercado_Receita!$T$2:$T$548,"44774B2Energia horáriaRuralNão se aplicaNão se aplicaNão se aplicaFora ponta",Mercado_Receita!$N$2:$N$548)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7"/>
      <c r="B20" s="12" t="s">
        <v>85</v>
      </c>
      <c r="C20" s="12" t="s">
        <v>44</v>
      </c>
      <c r="D20" s="12" t="s">
        <v>25</v>
      </c>
      <c r="E20" s="12" t="s">
        <v>25</v>
      </c>
      <c r="F20" s="12" t="s">
        <v>25</v>
      </c>
      <c r="G20" s="13" t="s">
        <v>78</v>
      </c>
      <c r="H20" s="13" t="s">
        <v>72</v>
      </c>
      <c r="I20" s="13">
        <f>SUMIF(Mercado_Receita!$T$2:$T$548,"44440B2Energia convencionalRuralNão se aplicaNão se aplicaNão se aplicaNão se aplica",Mercado_Receita!$N$2:$N$548)</f>
        <v>246.489</v>
      </c>
      <c r="J20" s="13">
        <f>SUMIF(Mercado_Receita!$T$2:$T$548,"44470B2Energia convencionalRuralNão se aplicaNão se aplicaNão se aplicaNão se aplica",Mercado_Receita!$N$2:$N$548)</f>
        <v>304.65499999999997</v>
      </c>
      <c r="K20" s="13">
        <f>SUMIF(Mercado_Receita!$T$2:$T$548,"44501B2Energia convencionalRuralNão se aplicaNão se aplicaNão se aplicaNão se aplica",Mercado_Receita!$N$2:$N$548)</f>
        <v>339.03999999999996</v>
      </c>
      <c r="L20" s="13">
        <f>SUMIF(Mercado_Receita!$T$2:$T$548,"44531B2Energia convencionalRuralNão se aplicaNão se aplicaNão se aplicaNão se aplica",Mercado_Receita!$N$2:$N$548)</f>
        <v>326.625</v>
      </c>
      <c r="M20" s="13">
        <f>SUMIF(Mercado_Receita!$T$2:$T$548,"44562B2Energia convencionalRuralNão se aplicaNão se aplicaNão se aplicaNão se aplica",Mercado_Receita!$N$2:$N$548)</f>
        <v>324.64099999999996</v>
      </c>
      <c r="N20" s="13">
        <f>SUMIF(Mercado_Receita!$T$2:$T$548,"44593B2Energia convencionalRuralNão se aplicaNão se aplicaNão se aplicaNão se aplica",Mercado_Receita!$N$2:$N$548)</f>
        <v>274.28199999999998</v>
      </c>
      <c r="O20" s="13">
        <f>SUMIF(Mercado_Receita!$T$2:$T$548,"44621B2Energia convencionalRuralNão se aplicaNão se aplicaNão se aplicaNão se aplica",Mercado_Receita!$N$2:$N$548)</f>
        <v>261.06699999999995</v>
      </c>
      <c r="P20" s="13">
        <f>SUMIF(Mercado_Receita!$T$2:$T$548,"44652B2Energia convencionalRuralNão se aplicaNão se aplicaNão se aplicaNão se aplica",Mercado_Receita!$N$2:$N$548)</f>
        <v>227.733</v>
      </c>
      <c r="Q20" s="13">
        <f>SUMIF(Mercado_Receita!$T$2:$T$548,"44682B2Energia convencionalRuralNão se aplicaNão se aplicaNão se aplicaNão se aplica",Mercado_Receita!$N$2:$N$548)</f>
        <v>217.43499999999997</v>
      </c>
      <c r="R20" s="13">
        <f>SUMIF(Mercado_Receita!$T$2:$T$548,"44713B2Energia convencionalRuralNão se aplicaNão se aplicaNão se aplicaNão se aplica",Mercado_Receita!$N$2:$N$548)</f>
        <v>235.327</v>
      </c>
      <c r="S20" s="13">
        <f>SUMIF(Mercado_Receita!$T$2:$T$548,"44743B2Energia convencionalRuralNão se aplicaNão se aplicaNão se aplicaNão se aplica",Mercado_Receita!$N$2:$N$548)</f>
        <v>222.078</v>
      </c>
      <c r="T20" s="13">
        <f>SUMIF(Mercado_Receita!$T$2:$T$548,"44774B2Energia convencionalRuralNão se aplicaNão se aplicaNão se aplicaNão se aplica",Mercado_Receita!$N$2:$N$548)</f>
        <v>222.078</v>
      </c>
      <c r="U20" s="13">
        <f t="shared" si="0"/>
        <v>3201.45</v>
      </c>
      <c r="V20" s="13"/>
      <c r="W20" s="13"/>
    </row>
    <row r="21" spans="1:23" ht="11.25" customHeight="1" x14ac:dyDescent="0.25">
      <c r="A21" s="77"/>
      <c r="B21" s="76" t="s">
        <v>71</v>
      </c>
      <c r="C21" s="76" t="s">
        <v>44</v>
      </c>
      <c r="D21" s="76" t="s">
        <v>88</v>
      </c>
      <c r="E21" s="76" t="s">
        <v>25</v>
      </c>
      <c r="F21" s="76" t="s">
        <v>25</v>
      </c>
      <c r="G21" s="13" t="s">
        <v>73</v>
      </c>
      <c r="H21" s="13" t="s">
        <v>72</v>
      </c>
      <c r="I21" s="13">
        <f>SUMIF(Mercado_Receita!$T$2:$T$548,"44440B2Energia horáriaRuralCooperativa de eletrificação ruralNão se aplicaNão se aplicaPonta",Mercado_Receita!$N$2:$N$548)</f>
        <v>0</v>
      </c>
      <c r="J21" s="13">
        <f>SUMIF(Mercado_Receita!$T$2:$T$548,"44470B2Energia horáriaRuralCooperativa de eletrificação ruralNão se aplicaNão se aplicaPonta",Mercado_Receita!$N$2:$N$548)</f>
        <v>0</v>
      </c>
      <c r="K21" s="13">
        <f>SUMIF(Mercado_Receita!$T$2:$T$548,"44501B2Energia horáriaRuralCooperativa de eletrificação ruralNão se aplicaNão se aplicaPonta",Mercado_Receita!$N$2:$N$548)</f>
        <v>0</v>
      </c>
      <c r="L21" s="13">
        <f>SUMIF(Mercado_Receita!$T$2:$T$548,"44531B2Energia horáriaRuralCooperativa de eletrificação ruralNão se aplicaNão se aplicaPonta",Mercado_Receita!$N$2:$N$548)</f>
        <v>0</v>
      </c>
      <c r="M21" s="13">
        <f>SUMIF(Mercado_Receita!$T$2:$T$548,"44562B2Energia horáriaRuralCooperativa de eletrificação ruralNão se aplicaNão se aplicaPonta",Mercado_Receita!$N$2:$N$548)</f>
        <v>0</v>
      </c>
      <c r="N21" s="13">
        <f>SUMIF(Mercado_Receita!$T$2:$T$548,"44593B2Energia horáriaRuralCooperativa de eletrificação ruralNão se aplicaNão se aplicaPonta",Mercado_Receita!$N$2:$N$548)</f>
        <v>0</v>
      </c>
      <c r="O21" s="13">
        <f>SUMIF(Mercado_Receita!$T$2:$T$548,"44621B2Energia horáriaRuralCooperativa de eletrificação ruralNão se aplicaNão se aplicaPonta",Mercado_Receita!$N$2:$N$548)</f>
        <v>0</v>
      </c>
      <c r="P21" s="13">
        <f>SUMIF(Mercado_Receita!$T$2:$T$548,"44652B2Energia horáriaRuralCooperativa de eletrificação ruralNão se aplicaNão se aplicaPonta",Mercado_Receita!$N$2:$N$548)</f>
        <v>0</v>
      </c>
      <c r="Q21" s="13">
        <f>SUMIF(Mercado_Receita!$T$2:$T$548,"44682B2Energia horáriaRuralCooperativa de eletrificação ruralNão se aplicaNão se aplicaPonta",Mercado_Receita!$N$2:$N$548)</f>
        <v>0</v>
      </c>
      <c r="R21" s="13">
        <f>SUMIF(Mercado_Receita!$T$2:$T$548,"44713B2Energia horáriaRuralCooperativa de eletrificação ruralNão se aplicaNão se aplicaPonta",Mercado_Receita!$N$2:$N$548)</f>
        <v>0</v>
      </c>
      <c r="S21" s="13">
        <f>SUMIF(Mercado_Receita!$T$2:$T$548,"44743B2Energia horáriaRuralCooperativa de eletrificação ruralNão se aplicaNão se aplicaPonta",Mercado_Receita!$N$2:$N$548)</f>
        <v>0</v>
      </c>
      <c r="T21" s="13">
        <f>SUMIF(Mercado_Receita!$T$2:$T$548,"44774B2Energia horáriaRuralCooperativa de eletrificação ruralNão se aplicaNão se aplicaPonta",Mercado_Receita!$N$2:$N$548)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7"/>
      <c r="B22" s="77"/>
      <c r="C22" s="77"/>
      <c r="D22" s="77"/>
      <c r="E22" s="77"/>
      <c r="F22" s="77"/>
      <c r="G22" s="13" t="s">
        <v>84</v>
      </c>
      <c r="H22" s="13" t="s">
        <v>72</v>
      </c>
      <c r="I22" s="13">
        <f>SUMIF(Mercado_Receita!$T$2:$T$548,"44440B2Energia horáriaRuralCooperativa de eletrificação ruralNão se aplicaNão se aplicaIntermediário",Mercado_Receita!$N$2:$N$548)</f>
        <v>0</v>
      </c>
      <c r="J22" s="13">
        <f>SUMIF(Mercado_Receita!$T$2:$T$548,"44470B2Energia horáriaRuralCooperativa de eletrificação ruralNão se aplicaNão se aplicaIntermediário",Mercado_Receita!$N$2:$N$548)</f>
        <v>0</v>
      </c>
      <c r="K22" s="13">
        <f>SUMIF(Mercado_Receita!$T$2:$T$548,"44501B2Energia horáriaRuralCooperativa de eletrificação ruralNão se aplicaNão se aplicaIntermediário",Mercado_Receita!$N$2:$N$548)</f>
        <v>0</v>
      </c>
      <c r="L22" s="13">
        <f>SUMIF(Mercado_Receita!$T$2:$T$548,"44531B2Energia horáriaRuralCooperativa de eletrificação ruralNão se aplicaNão se aplicaIntermediário",Mercado_Receita!$N$2:$N$548)</f>
        <v>0</v>
      </c>
      <c r="M22" s="13">
        <f>SUMIF(Mercado_Receita!$T$2:$T$548,"44562B2Energia horáriaRuralCooperativa de eletrificação ruralNão se aplicaNão se aplicaIntermediário",Mercado_Receita!$N$2:$N$548)</f>
        <v>0</v>
      </c>
      <c r="N22" s="13">
        <f>SUMIF(Mercado_Receita!$T$2:$T$548,"44593B2Energia horáriaRuralCooperativa de eletrificação ruralNão se aplicaNão se aplicaIntermediário",Mercado_Receita!$N$2:$N$548)</f>
        <v>0</v>
      </c>
      <c r="O22" s="13">
        <f>SUMIF(Mercado_Receita!$T$2:$T$548,"44621B2Energia horáriaRuralCooperativa de eletrificação ruralNão se aplicaNão se aplicaIntermediário",Mercado_Receita!$N$2:$N$548)</f>
        <v>0</v>
      </c>
      <c r="P22" s="13">
        <f>SUMIF(Mercado_Receita!$T$2:$T$548,"44652B2Energia horáriaRuralCooperativa de eletrificação ruralNão se aplicaNão se aplicaIntermediário",Mercado_Receita!$N$2:$N$548)</f>
        <v>0</v>
      </c>
      <c r="Q22" s="13">
        <f>SUMIF(Mercado_Receita!$T$2:$T$548,"44682B2Energia horáriaRuralCooperativa de eletrificação ruralNão se aplicaNão se aplicaIntermediário",Mercado_Receita!$N$2:$N$548)</f>
        <v>0</v>
      </c>
      <c r="R22" s="13">
        <f>SUMIF(Mercado_Receita!$T$2:$T$548,"44713B2Energia horáriaRuralCooperativa de eletrificação ruralNão se aplicaNão se aplicaIntermediário",Mercado_Receita!$N$2:$N$548)</f>
        <v>0</v>
      </c>
      <c r="S22" s="13">
        <f>SUMIF(Mercado_Receita!$T$2:$T$548,"44743B2Energia horáriaRuralCooperativa de eletrificação ruralNão se aplicaNão se aplicaIntermediário",Mercado_Receita!$N$2:$N$548)</f>
        <v>0</v>
      </c>
      <c r="T22" s="13">
        <f>SUMIF(Mercado_Receita!$T$2:$T$548,"44774B2Energia horáriaRuralCooperativa de eletrificação ruralNão se aplicaNão se aplicaIntermediário",Mercado_Receita!$N$2:$N$548)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77"/>
      <c r="E23" s="77"/>
      <c r="F23" s="77"/>
      <c r="G23" s="13" t="s">
        <v>74</v>
      </c>
      <c r="H23" s="13" t="s">
        <v>72</v>
      </c>
      <c r="I23" s="13">
        <f>SUMIF(Mercado_Receita!$T$2:$T$548,"44440B2Energia horáriaRuralCooperativa de eletrificação ruralNão se aplicaNão se aplicaFora ponta",Mercado_Receita!$N$2:$N$548)</f>
        <v>0</v>
      </c>
      <c r="J23" s="13">
        <f>SUMIF(Mercado_Receita!$T$2:$T$548,"44470B2Energia horáriaRuralCooperativa de eletrificação ruralNão se aplicaNão se aplicaFora ponta",Mercado_Receita!$N$2:$N$548)</f>
        <v>0</v>
      </c>
      <c r="K23" s="13">
        <f>SUMIF(Mercado_Receita!$T$2:$T$548,"44501B2Energia horáriaRuralCooperativa de eletrificação ruralNão se aplicaNão se aplicaFora ponta",Mercado_Receita!$N$2:$N$548)</f>
        <v>0</v>
      </c>
      <c r="L23" s="13">
        <f>SUMIF(Mercado_Receita!$T$2:$T$548,"44531B2Energia horáriaRuralCooperativa de eletrificação ruralNão se aplicaNão se aplicaFora ponta",Mercado_Receita!$N$2:$N$548)</f>
        <v>0</v>
      </c>
      <c r="M23" s="13">
        <f>SUMIF(Mercado_Receita!$T$2:$T$548,"44562B2Energia horáriaRuralCooperativa de eletrificação ruralNão se aplicaNão se aplicaFora ponta",Mercado_Receita!$N$2:$N$548)</f>
        <v>0</v>
      </c>
      <c r="N23" s="13">
        <f>SUMIF(Mercado_Receita!$T$2:$T$548,"44593B2Energia horáriaRuralCooperativa de eletrificação ruralNão se aplicaNão se aplicaFora ponta",Mercado_Receita!$N$2:$N$548)</f>
        <v>0</v>
      </c>
      <c r="O23" s="13">
        <f>SUMIF(Mercado_Receita!$T$2:$T$548,"44621B2Energia horáriaRuralCooperativa de eletrificação ruralNão se aplicaNão se aplicaFora ponta",Mercado_Receita!$N$2:$N$548)</f>
        <v>0</v>
      </c>
      <c r="P23" s="13">
        <f>SUMIF(Mercado_Receita!$T$2:$T$548,"44652B2Energia horáriaRuralCooperativa de eletrificação ruralNão se aplicaNão se aplicaFora ponta",Mercado_Receita!$N$2:$N$548)</f>
        <v>0</v>
      </c>
      <c r="Q23" s="13">
        <f>SUMIF(Mercado_Receita!$T$2:$T$548,"44682B2Energia horáriaRuralCooperativa de eletrificação ruralNão se aplicaNão se aplicaFora ponta",Mercado_Receita!$N$2:$N$548)</f>
        <v>0</v>
      </c>
      <c r="R23" s="13">
        <f>SUMIF(Mercado_Receita!$T$2:$T$548,"44713B2Energia horáriaRuralCooperativa de eletrificação ruralNão se aplicaNão se aplicaFora ponta",Mercado_Receita!$N$2:$N$548)</f>
        <v>0</v>
      </c>
      <c r="S23" s="13">
        <f>SUMIF(Mercado_Receita!$T$2:$T$548,"44743B2Energia horáriaRuralCooperativa de eletrificação ruralNão se aplicaNão se aplicaFora ponta",Mercado_Receita!$N$2:$N$548)</f>
        <v>0</v>
      </c>
      <c r="T23" s="13">
        <f>SUMIF(Mercado_Receita!$T$2:$T$548,"44774B2Energia horáriaRuralCooperativa de eletrificação ruralNão se aplicaNão se aplicaFora ponta",Mercado_Receita!$N$2:$N$548)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12" t="s">
        <v>85</v>
      </c>
      <c r="C24" s="12" t="s">
        <v>44</v>
      </c>
      <c r="D24" s="12" t="s">
        <v>88</v>
      </c>
      <c r="E24" s="12" t="s">
        <v>25</v>
      </c>
      <c r="F24" s="12" t="s">
        <v>25</v>
      </c>
      <c r="G24" s="13" t="s">
        <v>78</v>
      </c>
      <c r="H24" s="13" t="s">
        <v>72</v>
      </c>
      <c r="I24" s="13">
        <f>SUMIF(Mercado_Receita!$T$2:$T$548,"44440B2Energia convencionalRuralCooperativa de eletrificação ruralNão se aplicaNão se aplicaNão se aplica",Mercado_Receita!$N$2:$N$548)</f>
        <v>0</v>
      </c>
      <c r="J24" s="13">
        <f>SUMIF(Mercado_Receita!$T$2:$T$548,"44470B2Energia convencionalRuralCooperativa de eletrificação ruralNão se aplicaNão se aplicaNão se aplica",Mercado_Receita!$N$2:$N$548)</f>
        <v>0</v>
      </c>
      <c r="K24" s="13">
        <f>SUMIF(Mercado_Receita!$T$2:$T$548,"44501B2Energia convencionalRuralCooperativa de eletrificação ruralNão se aplicaNão se aplicaNão se aplica",Mercado_Receita!$N$2:$N$548)</f>
        <v>0</v>
      </c>
      <c r="L24" s="13">
        <f>SUMIF(Mercado_Receita!$T$2:$T$548,"44531B2Energia convencionalRuralCooperativa de eletrificação ruralNão se aplicaNão se aplicaNão se aplica",Mercado_Receita!$N$2:$N$548)</f>
        <v>0</v>
      </c>
      <c r="M24" s="13">
        <f>SUMIF(Mercado_Receita!$T$2:$T$548,"44562B2Energia convencionalRuralCooperativa de eletrificação ruralNão se aplicaNão se aplicaNão se aplica",Mercado_Receita!$N$2:$N$548)</f>
        <v>0</v>
      </c>
      <c r="N24" s="13">
        <f>SUMIF(Mercado_Receita!$T$2:$T$548,"44593B2Energia convencionalRuralCooperativa de eletrificação ruralNão se aplicaNão se aplicaNão se aplica",Mercado_Receita!$N$2:$N$548)</f>
        <v>0</v>
      </c>
      <c r="O24" s="13">
        <f>SUMIF(Mercado_Receita!$T$2:$T$548,"44621B2Energia convencionalRuralCooperativa de eletrificação ruralNão se aplicaNão se aplicaNão se aplica",Mercado_Receita!$N$2:$N$548)</f>
        <v>0</v>
      </c>
      <c r="P24" s="13">
        <f>SUMIF(Mercado_Receita!$T$2:$T$548,"44652B2Energia convencionalRuralCooperativa de eletrificação ruralNão se aplicaNão se aplicaNão se aplica",Mercado_Receita!$N$2:$N$548)</f>
        <v>0</v>
      </c>
      <c r="Q24" s="13">
        <f>SUMIF(Mercado_Receita!$T$2:$T$548,"44682B2Energia convencionalRuralCooperativa de eletrificação ruralNão se aplicaNão se aplicaNão se aplica",Mercado_Receita!$N$2:$N$548)</f>
        <v>0</v>
      </c>
      <c r="R24" s="13">
        <f>SUMIF(Mercado_Receita!$T$2:$T$548,"44713B2Energia convencionalRuralCooperativa de eletrificação ruralNão se aplicaNão se aplicaNão se aplica",Mercado_Receita!$N$2:$N$548)</f>
        <v>0</v>
      </c>
      <c r="S24" s="13">
        <f>SUMIF(Mercado_Receita!$T$2:$T$548,"44743B2Energia convencionalRuralCooperativa de eletrificação ruralNão se aplicaNão se aplicaNão se aplica",Mercado_Receita!$N$2:$N$548)</f>
        <v>0</v>
      </c>
      <c r="T24" s="13">
        <f>SUMIF(Mercado_Receita!$T$2:$T$548,"44774B2Energia convencionalRuralCooperativa de eletrificação ruralNão se aplicaNão se aplicaNão se aplica",Mercado_Receita!$N$2:$N$548)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6" t="s">
        <v>71</v>
      </c>
      <c r="C25" s="76" t="s">
        <v>44</v>
      </c>
      <c r="D25" s="76" t="s">
        <v>89</v>
      </c>
      <c r="E25" s="76" t="s">
        <v>25</v>
      </c>
      <c r="F25" s="76" t="s">
        <v>25</v>
      </c>
      <c r="G25" s="13" t="s">
        <v>73</v>
      </c>
      <c r="H25" s="13" t="s">
        <v>72</v>
      </c>
      <c r="I25" s="13">
        <f>SUMIF(Mercado_Receita!$T$2:$T$548,"44440B2Energia horáriaRuralServiço público de irrigação ruralNão se aplicaNão se aplicaPonta",Mercado_Receita!$N$2:$N$548)</f>
        <v>0</v>
      </c>
      <c r="J25" s="13">
        <f>SUMIF(Mercado_Receita!$T$2:$T$548,"44470B2Energia horáriaRuralServiço público de irrigação ruralNão se aplicaNão se aplicaPonta",Mercado_Receita!$N$2:$N$548)</f>
        <v>0</v>
      </c>
      <c r="K25" s="13">
        <f>SUMIF(Mercado_Receita!$T$2:$T$548,"44501B2Energia horáriaRuralServiço público de irrigação ruralNão se aplicaNão se aplicaPonta",Mercado_Receita!$N$2:$N$548)</f>
        <v>0</v>
      </c>
      <c r="L25" s="13">
        <f>SUMIF(Mercado_Receita!$T$2:$T$548,"44531B2Energia horáriaRuralServiço público de irrigação ruralNão se aplicaNão se aplicaPonta",Mercado_Receita!$N$2:$N$548)</f>
        <v>0</v>
      </c>
      <c r="M25" s="13">
        <f>SUMIF(Mercado_Receita!$T$2:$T$548,"44562B2Energia horáriaRuralServiço público de irrigação ruralNão se aplicaNão se aplicaPonta",Mercado_Receita!$N$2:$N$548)</f>
        <v>0</v>
      </c>
      <c r="N25" s="13">
        <f>SUMIF(Mercado_Receita!$T$2:$T$548,"44593B2Energia horáriaRuralServiço público de irrigação ruralNão se aplicaNão se aplicaPonta",Mercado_Receita!$N$2:$N$548)</f>
        <v>0</v>
      </c>
      <c r="O25" s="13">
        <f>SUMIF(Mercado_Receita!$T$2:$T$548,"44621B2Energia horáriaRuralServiço público de irrigação ruralNão se aplicaNão se aplicaPonta",Mercado_Receita!$N$2:$N$548)</f>
        <v>0</v>
      </c>
      <c r="P25" s="13">
        <f>SUMIF(Mercado_Receita!$T$2:$T$548,"44652B2Energia horáriaRuralServiço público de irrigação ruralNão se aplicaNão se aplicaPonta",Mercado_Receita!$N$2:$N$548)</f>
        <v>0</v>
      </c>
      <c r="Q25" s="13">
        <f>SUMIF(Mercado_Receita!$T$2:$T$548,"44682B2Energia horáriaRuralServiço público de irrigação ruralNão se aplicaNão se aplicaPonta",Mercado_Receita!$N$2:$N$548)</f>
        <v>0</v>
      </c>
      <c r="R25" s="13">
        <f>SUMIF(Mercado_Receita!$T$2:$T$548,"44713B2Energia horáriaRuralServiço público de irrigação ruralNão se aplicaNão se aplicaPonta",Mercado_Receita!$N$2:$N$548)</f>
        <v>0</v>
      </c>
      <c r="S25" s="13">
        <f>SUMIF(Mercado_Receita!$T$2:$T$548,"44743B2Energia horáriaRuralServiço público de irrigação ruralNão se aplicaNão se aplicaPonta",Mercado_Receita!$N$2:$N$548)</f>
        <v>0</v>
      </c>
      <c r="T25" s="13">
        <f>SUMIF(Mercado_Receita!$T$2:$T$548,"44774B2Energia horáriaRuralServiço público de irrigação ruralNão se aplicaNão se aplicaPonta",Mercado_Receita!$N$2:$N$548)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77"/>
      <c r="E26" s="77"/>
      <c r="F26" s="77"/>
      <c r="G26" s="13" t="s">
        <v>84</v>
      </c>
      <c r="H26" s="13" t="s">
        <v>72</v>
      </c>
      <c r="I26" s="13">
        <f>SUMIF(Mercado_Receita!$T$2:$T$548,"44440B2Energia horáriaRuralServiço público de irrigação ruralNão se aplicaNão se aplicaIntermediário",Mercado_Receita!$N$2:$N$548)</f>
        <v>0</v>
      </c>
      <c r="J26" s="13">
        <f>SUMIF(Mercado_Receita!$T$2:$T$548,"44470B2Energia horáriaRuralServiço público de irrigação ruralNão se aplicaNão se aplicaIntermediário",Mercado_Receita!$N$2:$N$548)</f>
        <v>0</v>
      </c>
      <c r="K26" s="13">
        <f>SUMIF(Mercado_Receita!$T$2:$T$548,"44501B2Energia horáriaRuralServiço público de irrigação ruralNão se aplicaNão se aplicaIntermediário",Mercado_Receita!$N$2:$N$548)</f>
        <v>0</v>
      </c>
      <c r="L26" s="13">
        <f>SUMIF(Mercado_Receita!$T$2:$T$548,"44531B2Energia horáriaRuralServiço público de irrigação ruralNão se aplicaNão se aplicaIntermediário",Mercado_Receita!$N$2:$N$548)</f>
        <v>0</v>
      </c>
      <c r="M26" s="13">
        <f>SUMIF(Mercado_Receita!$T$2:$T$548,"44562B2Energia horáriaRuralServiço público de irrigação ruralNão se aplicaNão se aplicaIntermediário",Mercado_Receita!$N$2:$N$548)</f>
        <v>0</v>
      </c>
      <c r="N26" s="13">
        <f>SUMIF(Mercado_Receita!$T$2:$T$548,"44593B2Energia horáriaRuralServiço público de irrigação ruralNão se aplicaNão se aplicaIntermediário",Mercado_Receita!$N$2:$N$548)</f>
        <v>0</v>
      </c>
      <c r="O26" s="13">
        <f>SUMIF(Mercado_Receita!$T$2:$T$548,"44621B2Energia horáriaRuralServiço público de irrigação ruralNão se aplicaNão se aplicaIntermediário",Mercado_Receita!$N$2:$N$548)</f>
        <v>0</v>
      </c>
      <c r="P26" s="13">
        <f>SUMIF(Mercado_Receita!$T$2:$T$548,"44652B2Energia horáriaRuralServiço público de irrigação ruralNão se aplicaNão se aplicaIntermediário",Mercado_Receita!$N$2:$N$548)</f>
        <v>0</v>
      </c>
      <c r="Q26" s="13">
        <f>SUMIF(Mercado_Receita!$T$2:$T$548,"44682B2Energia horáriaRuralServiço público de irrigação ruralNão se aplicaNão se aplicaIntermediário",Mercado_Receita!$N$2:$N$548)</f>
        <v>0</v>
      </c>
      <c r="R26" s="13">
        <f>SUMIF(Mercado_Receita!$T$2:$T$548,"44713B2Energia horáriaRuralServiço público de irrigação ruralNão se aplicaNão se aplicaIntermediário",Mercado_Receita!$N$2:$N$548)</f>
        <v>0</v>
      </c>
      <c r="S26" s="13">
        <f>SUMIF(Mercado_Receita!$T$2:$T$548,"44743B2Energia horáriaRuralServiço público de irrigação ruralNão se aplicaNão se aplicaIntermediário",Mercado_Receita!$N$2:$N$548)</f>
        <v>0</v>
      </c>
      <c r="T26" s="13">
        <f>SUMIF(Mercado_Receita!$T$2:$T$548,"44774B2Energia horáriaRuralServiço público de irrigação ruralNão se aplicaNão se aplicaIntermediário",Mercado_Receita!$N$2:$N$548)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/>
      <c r="B27" s="77"/>
      <c r="C27" s="77"/>
      <c r="D27" s="77"/>
      <c r="E27" s="77"/>
      <c r="F27" s="77"/>
      <c r="G27" s="13" t="s">
        <v>74</v>
      </c>
      <c r="H27" s="13" t="s">
        <v>72</v>
      </c>
      <c r="I27" s="13">
        <f>SUMIF(Mercado_Receita!$T$2:$T$548,"44440B2Energia horáriaRuralServiço público de irrigação ruralNão se aplicaNão se aplicaFora ponta",Mercado_Receita!$N$2:$N$548)</f>
        <v>0</v>
      </c>
      <c r="J27" s="13">
        <f>SUMIF(Mercado_Receita!$T$2:$T$548,"44470B2Energia horáriaRuralServiço público de irrigação ruralNão se aplicaNão se aplicaFora ponta",Mercado_Receita!$N$2:$N$548)</f>
        <v>0</v>
      </c>
      <c r="K27" s="13">
        <f>SUMIF(Mercado_Receita!$T$2:$T$548,"44501B2Energia horáriaRuralServiço público de irrigação ruralNão se aplicaNão se aplicaFora ponta",Mercado_Receita!$N$2:$N$548)</f>
        <v>0</v>
      </c>
      <c r="L27" s="13">
        <f>SUMIF(Mercado_Receita!$T$2:$T$548,"44531B2Energia horáriaRuralServiço público de irrigação ruralNão se aplicaNão se aplicaFora ponta",Mercado_Receita!$N$2:$N$548)</f>
        <v>0</v>
      </c>
      <c r="M27" s="13">
        <f>SUMIF(Mercado_Receita!$T$2:$T$548,"44562B2Energia horáriaRuralServiço público de irrigação ruralNão se aplicaNão se aplicaFora ponta",Mercado_Receita!$N$2:$N$548)</f>
        <v>0</v>
      </c>
      <c r="N27" s="13">
        <f>SUMIF(Mercado_Receita!$T$2:$T$548,"44593B2Energia horáriaRuralServiço público de irrigação ruralNão se aplicaNão se aplicaFora ponta",Mercado_Receita!$N$2:$N$548)</f>
        <v>0</v>
      </c>
      <c r="O27" s="13">
        <f>SUMIF(Mercado_Receita!$T$2:$T$548,"44621B2Energia horáriaRuralServiço público de irrigação ruralNão se aplicaNão se aplicaFora ponta",Mercado_Receita!$N$2:$N$548)</f>
        <v>0</v>
      </c>
      <c r="P27" s="13">
        <f>SUMIF(Mercado_Receita!$T$2:$T$548,"44652B2Energia horáriaRuralServiço público de irrigação ruralNão se aplicaNão se aplicaFora ponta",Mercado_Receita!$N$2:$N$548)</f>
        <v>0</v>
      </c>
      <c r="Q27" s="13">
        <f>SUMIF(Mercado_Receita!$T$2:$T$548,"44682B2Energia horáriaRuralServiço público de irrigação ruralNão se aplicaNão se aplicaFora ponta",Mercado_Receita!$N$2:$N$548)</f>
        <v>0</v>
      </c>
      <c r="R27" s="13">
        <f>SUMIF(Mercado_Receita!$T$2:$T$548,"44713B2Energia horáriaRuralServiço público de irrigação ruralNão se aplicaNão se aplicaFora ponta",Mercado_Receita!$N$2:$N$548)</f>
        <v>0</v>
      </c>
      <c r="S27" s="13">
        <f>SUMIF(Mercado_Receita!$T$2:$T$548,"44743B2Energia horáriaRuralServiço público de irrigação ruralNão se aplicaNão se aplicaFora ponta",Mercado_Receita!$N$2:$N$548)</f>
        <v>0</v>
      </c>
      <c r="T27" s="13">
        <f>SUMIF(Mercado_Receita!$T$2:$T$548,"44774B2Energia horáriaRuralServiço público de irrigação ruralNão se aplicaNão se aplicaFora ponta",Mercado_Receita!$N$2:$N$548)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12" t="s">
        <v>85</v>
      </c>
      <c r="C28" s="12" t="s">
        <v>44</v>
      </c>
      <c r="D28" s="12" t="s">
        <v>89</v>
      </c>
      <c r="E28" s="12" t="s">
        <v>25</v>
      </c>
      <c r="F28" s="12" t="s">
        <v>25</v>
      </c>
      <c r="G28" s="13" t="s">
        <v>78</v>
      </c>
      <c r="H28" s="13" t="s">
        <v>72</v>
      </c>
      <c r="I28" s="13">
        <f>SUMIF(Mercado_Receita!$T$2:$T$548,"44440B2Energia convencionalRuralServiço público de irrigação ruralNão se aplicaNão se aplicaNão se aplica",Mercado_Receita!$N$2:$N$548)</f>
        <v>0</v>
      </c>
      <c r="J28" s="13">
        <f>SUMIF(Mercado_Receita!$T$2:$T$548,"44470B2Energia convencionalRuralServiço público de irrigação ruralNão se aplicaNão se aplicaNão se aplica",Mercado_Receita!$N$2:$N$548)</f>
        <v>0</v>
      </c>
      <c r="K28" s="13">
        <f>SUMIF(Mercado_Receita!$T$2:$T$548,"44501B2Energia convencionalRuralServiço público de irrigação ruralNão se aplicaNão se aplicaNão se aplica",Mercado_Receita!$N$2:$N$548)</f>
        <v>0</v>
      </c>
      <c r="L28" s="13">
        <f>SUMIF(Mercado_Receita!$T$2:$T$548,"44531B2Energia convencionalRuralServiço público de irrigação ruralNão se aplicaNão se aplicaNão se aplica",Mercado_Receita!$N$2:$N$548)</f>
        <v>0</v>
      </c>
      <c r="M28" s="13">
        <f>SUMIF(Mercado_Receita!$T$2:$T$548,"44562B2Energia convencionalRuralServiço público de irrigação ruralNão se aplicaNão se aplicaNão se aplica",Mercado_Receita!$N$2:$N$548)</f>
        <v>0</v>
      </c>
      <c r="N28" s="13">
        <f>SUMIF(Mercado_Receita!$T$2:$T$548,"44593B2Energia convencionalRuralServiço público de irrigação ruralNão se aplicaNão se aplicaNão se aplica",Mercado_Receita!$N$2:$N$548)</f>
        <v>0</v>
      </c>
      <c r="O28" s="13">
        <f>SUMIF(Mercado_Receita!$T$2:$T$548,"44621B2Energia convencionalRuralServiço público de irrigação ruralNão se aplicaNão se aplicaNão se aplica",Mercado_Receita!$N$2:$N$548)</f>
        <v>0</v>
      </c>
      <c r="P28" s="13">
        <f>SUMIF(Mercado_Receita!$T$2:$T$548,"44652B2Energia convencionalRuralServiço público de irrigação ruralNão se aplicaNão se aplicaNão se aplica",Mercado_Receita!$N$2:$N$548)</f>
        <v>0</v>
      </c>
      <c r="Q28" s="13">
        <f>SUMIF(Mercado_Receita!$T$2:$T$548,"44682B2Energia convencionalRuralServiço público de irrigação ruralNão se aplicaNão se aplicaNão se aplica",Mercado_Receita!$N$2:$N$548)</f>
        <v>0</v>
      </c>
      <c r="R28" s="13">
        <f>SUMIF(Mercado_Receita!$T$2:$T$548,"44713B2Energia convencionalRuralServiço público de irrigação ruralNão se aplicaNão se aplicaNão se aplica",Mercado_Receita!$N$2:$N$548)</f>
        <v>0</v>
      </c>
      <c r="S28" s="13">
        <f>SUMIF(Mercado_Receita!$T$2:$T$548,"44743B2Energia convencionalRuralServiço público de irrigação ruralNão se aplicaNão se aplicaNão se aplica",Mercado_Receita!$N$2:$N$548)</f>
        <v>0</v>
      </c>
      <c r="T28" s="13">
        <f>SUMIF(Mercado_Receita!$T$2:$T$548,"44774B2Energia convencionalRuralServiço público de irrigação ruralNão se aplicaNão se aplicaNão se aplica",Mercado_Receita!$N$2:$N$548)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6" t="s">
        <v>86</v>
      </c>
      <c r="C29" s="76" t="s">
        <v>44</v>
      </c>
      <c r="D29" s="12" t="s">
        <v>25</v>
      </c>
      <c r="E29" s="12" t="s">
        <v>25</v>
      </c>
      <c r="F29" s="12" t="s">
        <v>25</v>
      </c>
      <c r="G29" s="13" t="s">
        <v>78</v>
      </c>
      <c r="H29" s="13" t="s">
        <v>72</v>
      </c>
      <c r="I29" s="13">
        <f>SUMIF(Mercado_Receita!$T$2:$T$548,"44440B2Energia convencional pré-pagamentoRuralNão se aplicaNão se aplicaNão se aplicaNão se aplica",Mercado_Receita!$N$2:$N$548)</f>
        <v>0</v>
      </c>
      <c r="J29" s="13">
        <f>SUMIF(Mercado_Receita!$T$2:$T$548,"44470B2Energia convencional pré-pagamentoRuralNão se aplicaNão se aplicaNão se aplicaNão se aplica",Mercado_Receita!$N$2:$N$548)</f>
        <v>0</v>
      </c>
      <c r="K29" s="13">
        <f>SUMIF(Mercado_Receita!$T$2:$T$548,"44501B2Energia convencional pré-pagamentoRuralNão se aplicaNão se aplicaNão se aplicaNão se aplica",Mercado_Receita!$N$2:$N$548)</f>
        <v>0</v>
      </c>
      <c r="L29" s="13">
        <f>SUMIF(Mercado_Receita!$T$2:$T$548,"44531B2Energia convencional pré-pagamentoRuralNão se aplicaNão se aplicaNão se aplicaNão se aplica",Mercado_Receita!$N$2:$N$548)</f>
        <v>0</v>
      </c>
      <c r="M29" s="13">
        <f>SUMIF(Mercado_Receita!$T$2:$T$548,"44562B2Energia convencional pré-pagamentoRuralNão se aplicaNão se aplicaNão se aplicaNão se aplica",Mercado_Receita!$N$2:$N$548)</f>
        <v>0</v>
      </c>
      <c r="N29" s="13">
        <f>SUMIF(Mercado_Receita!$T$2:$T$548,"44593B2Energia convencional pré-pagamentoRuralNão se aplicaNão se aplicaNão se aplicaNão se aplica",Mercado_Receita!$N$2:$N$548)</f>
        <v>0</v>
      </c>
      <c r="O29" s="13">
        <f>SUMIF(Mercado_Receita!$T$2:$T$548,"44621B2Energia convencional pré-pagamentoRuralNão se aplicaNão se aplicaNão se aplicaNão se aplica",Mercado_Receita!$N$2:$N$548)</f>
        <v>0</v>
      </c>
      <c r="P29" s="13">
        <f>SUMIF(Mercado_Receita!$T$2:$T$548,"44652B2Energia convencional pré-pagamentoRuralNão se aplicaNão se aplicaNão se aplicaNão se aplica",Mercado_Receita!$N$2:$N$548)</f>
        <v>0</v>
      </c>
      <c r="Q29" s="13">
        <f>SUMIF(Mercado_Receita!$T$2:$T$548,"44682B2Energia convencional pré-pagamentoRuralNão se aplicaNão se aplicaNão se aplicaNão se aplica",Mercado_Receita!$N$2:$N$548)</f>
        <v>0</v>
      </c>
      <c r="R29" s="13">
        <f>SUMIF(Mercado_Receita!$T$2:$T$548,"44713B2Energia convencional pré-pagamentoRuralNão se aplicaNão se aplicaNão se aplicaNão se aplica",Mercado_Receita!$N$2:$N$548)</f>
        <v>0</v>
      </c>
      <c r="S29" s="13">
        <f>SUMIF(Mercado_Receita!$T$2:$T$548,"44743B2Energia convencional pré-pagamentoRuralNão se aplicaNão se aplicaNão se aplicaNão se aplica",Mercado_Receita!$N$2:$N$548)</f>
        <v>0</v>
      </c>
      <c r="T29" s="13">
        <f>SUMIF(Mercado_Receita!$T$2:$T$548,"44774B2Energia convencional pré-pagamentoRuralNão se aplicaNão se aplicaNão se aplicaNão se aplica",Mercado_Receita!$N$2:$N$548)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77"/>
      <c r="C30" s="77"/>
      <c r="D30" s="12" t="s">
        <v>88</v>
      </c>
      <c r="E30" s="12" t="s">
        <v>25</v>
      </c>
      <c r="F30" s="12" t="s">
        <v>25</v>
      </c>
      <c r="G30" s="13" t="s">
        <v>78</v>
      </c>
      <c r="H30" s="13" t="s">
        <v>72</v>
      </c>
      <c r="I30" s="13">
        <f>SUMIF(Mercado_Receita!$T$2:$T$548,"44440B2Energia convencional pré-pagamentoRuralCooperativa de eletrificação ruralNão se aplicaNão se aplicaNão se aplica",Mercado_Receita!$N$2:$N$548)</f>
        <v>0</v>
      </c>
      <c r="J30" s="13">
        <f>SUMIF(Mercado_Receita!$T$2:$T$548,"44470B2Energia convencional pré-pagamentoRuralCooperativa de eletrificação ruralNão se aplicaNão se aplicaNão se aplica",Mercado_Receita!$N$2:$N$548)</f>
        <v>0</v>
      </c>
      <c r="K30" s="13">
        <f>SUMIF(Mercado_Receita!$T$2:$T$548,"44501B2Energia convencional pré-pagamentoRuralCooperativa de eletrificação ruralNão se aplicaNão se aplicaNão se aplica",Mercado_Receita!$N$2:$N$548)</f>
        <v>0</v>
      </c>
      <c r="L30" s="13">
        <f>SUMIF(Mercado_Receita!$T$2:$T$548,"44531B2Energia convencional pré-pagamentoRuralCooperativa de eletrificação ruralNão se aplicaNão se aplicaNão se aplica",Mercado_Receita!$N$2:$N$548)</f>
        <v>0</v>
      </c>
      <c r="M30" s="13">
        <f>SUMIF(Mercado_Receita!$T$2:$T$548,"44562B2Energia convencional pré-pagamentoRuralCooperativa de eletrificação ruralNão se aplicaNão se aplicaNão se aplica",Mercado_Receita!$N$2:$N$548)</f>
        <v>0</v>
      </c>
      <c r="N30" s="13">
        <f>SUMIF(Mercado_Receita!$T$2:$T$548,"44593B2Energia convencional pré-pagamentoRuralCooperativa de eletrificação ruralNão se aplicaNão se aplicaNão se aplica",Mercado_Receita!$N$2:$N$548)</f>
        <v>0</v>
      </c>
      <c r="O30" s="13">
        <f>SUMIF(Mercado_Receita!$T$2:$T$548,"44621B2Energia convencional pré-pagamentoRuralCooperativa de eletrificação ruralNão se aplicaNão se aplicaNão se aplica",Mercado_Receita!$N$2:$N$548)</f>
        <v>0</v>
      </c>
      <c r="P30" s="13">
        <f>SUMIF(Mercado_Receita!$T$2:$T$548,"44652B2Energia convencional pré-pagamentoRuralCooperativa de eletrificação ruralNão se aplicaNão se aplicaNão se aplica",Mercado_Receita!$N$2:$N$548)</f>
        <v>0</v>
      </c>
      <c r="Q30" s="13">
        <f>SUMIF(Mercado_Receita!$T$2:$T$548,"44682B2Energia convencional pré-pagamentoRuralCooperativa de eletrificação ruralNão se aplicaNão se aplicaNão se aplica",Mercado_Receita!$N$2:$N$548)</f>
        <v>0</v>
      </c>
      <c r="R30" s="13">
        <f>SUMIF(Mercado_Receita!$T$2:$T$548,"44713B2Energia convencional pré-pagamentoRuralCooperativa de eletrificação ruralNão se aplicaNão se aplicaNão se aplica",Mercado_Receita!$N$2:$N$548)</f>
        <v>0</v>
      </c>
      <c r="S30" s="13">
        <f>SUMIF(Mercado_Receita!$T$2:$T$548,"44743B2Energia convencional pré-pagamentoRuralCooperativa de eletrificação ruralNão se aplicaNão se aplicaNão se aplica",Mercado_Receita!$N$2:$N$548)</f>
        <v>0</v>
      </c>
      <c r="T30" s="13">
        <f>SUMIF(Mercado_Receita!$T$2:$T$548,"44774B2Energia convencional pré-pagamentoRuralCooperativa de eletrificação ruralNão se aplicaNão se aplicaNão se aplica",Mercado_Receita!$N$2:$N$548)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7"/>
      <c r="B31" s="77"/>
      <c r="C31" s="77"/>
      <c r="D31" s="12" t="s">
        <v>89</v>
      </c>
      <c r="E31" s="12" t="s">
        <v>25</v>
      </c>
      <c r="F31" s="12" t="s">
        <v>25</v>
      </c>
      <c r="G31" s="13" t="s">
        <v>78</v>
      </c>
      <c r="H31" s="13" t="s">
        <v>72</v>
      </c>
      <c r="I31" s="13">
        <f>SUMIF(Mercado_Receita!$T$2:$T$548,"44440B2Energia convencional pré-pagamentoRuralServiço público de irrigação ruralNão se aplicaNão se aplicaNão se aplica",Mercado_Receita!$N$2:$N$548)</f>
        <v>0</v>
      </c>
      <c r="J31" s="13">
        <f>SUMIF(Mercado_Receita!$T$2:$T$548,"44470B2Energia convencional pré-pagamentoRuralServiço público de irrigação ruralNão se aplicaNão se aplicaNão se aplica",Mercado_Receita!$N$2:$N$548)</f>
        <v>0</v>
      </c>
      <c r="K31" s="13">
        <f>SUMIF(Mercado_Receita!$T$2:$T$548,"44501B2Energia convencional pré-pagamentoRuralServiço público de irrigação ruralNão se aplicaNão se aplicaNão se aplica",Mercado_Receita!$N$2:$N$548)</f>
        <v>0</v>
      </c>
      <c r="L31" s="13">
        <f>SUMIF(Mercado_Receita!$T$2:$T$548,"44531B2Energia convencional pré-pagamentoRuralServiço público de irrigação ruralNão se aplicaNão se aplicaNão se aplica",Mercado_Receita!$N$2:$N$548)</f>
        <v>0</v>
      </c>
      <c r="M31" s="13">
        <f>SUMIF(Mercado_Receita!$T$2:$T$548,"44562B2Energia convencional pré-pagamentoRuralServiço público de irrigação ruralNão se aplicaNão se aplicaNão se aplica",Mercado_Receita!$N$2:$N$548)</f>
        <v>0</v>
      </c>
      <c r="N31" s="13">
        <f>SUMIF(Mercado_Receita!$T$2:$T$548,"44593B2Energia convencional pré-pagamentoRuralServiço público de irrigação ruralNão se aplicaNão se aplicaNão se aplica",Mercado_Receita!$N$2:$N$548)</f>
        <v>0</v>
      </c>
      <c r="O31" s="13">
        <f>SUMIF(Mercado_Receita!$T$2:$T$548,"44621B2Energia convencional pré-pagamentoRuralServiço público de irrigação ruralNão se aplicaNão se aplicaNão se aplica",Mercado_Receita!$N$2:$N$548)</f>
        <v>0</v>
      </c>
      <c r="P31" s="13">
        <f>SUMIF(Mercado_Receita!$T$2:$T$548,"44652B2Energia convencional pré-pagamentoRuralServiço público de irrigação ruralNão se aplicaNão se aplicaNão se aplica",Mercado_Receita!$N$2:$N$548)</f>
        <v>0</v>
      </c>
      <c r="Q31" s="13">
        <f>SUMIF(Mercado_Receita!$T$2:$T$548,"44682B2Energia convencional pré-pagamentoRuralServiço público de irrigação ruralNão se aplicaNão se aplicaNão se aplica",Mercado_Receita!$N$2:$N$548)</f>
        <v>0</v>
      </c>
      <c r="R31" s="13">
        <f>SUMIF(Mercado_Receita!$T$2:$T$548,"44713B2Energia convencional pré-pagamentoRuralServiço público de irrigação ruralNão se aplicaNão se aplicaNão se aplica",Mercado_Receita!$N$2:$N$548)</f>
        <v>0</v>
      </c>
      <c r="S31" s="13">
        <f>SUMIF(Mercado_Receita!$T$2:$T$548,"44743B2Energia convencional pré-pagamentoRuralServiço público de irrigação ruralNão se aplicaNão se aplicaNão se aplica",Mercado_Receita!$N$2:$N$548)</f>
        <v>0</v>
      </c>
      <c r="T31" s="13">
        <f>SUMIF(Mercado_Receita!$T$2:$T$548,"44774B2Energia convencional pré-pagamentoRuralServiço público de irrigação ruralNão se aplicaNão se aplicaNão se aplica",Mercado_Receita!$N$2:$N$548)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6" t="s">
        <v>33</v>
      </c>
      <c r="B32" s="76" t="s">
        <v>71</v>
      </c>
      <c r="C32" s="76" t="s">
        <v>25</v>
      </c>
      <c r="D32" s="76" t="s">
        <v>25</v>
      </c>
      <c r="E32" s="76" t="s">
        <v>25</v>
      </c>
      <c r="F32" s="76" t="s">
        <v>25</v>
      </c>
      <c r="G32" s="13" t="s">
        <v>73</v>
      </c>
      <c r="H32" s="13" t="s">
        <v>72</v>
      </c>
      <c r="I32" s="13">
        <f>SUMIF(Mercado_Receita!$T$2:$T$548,"44440B3Energia horáriaNão se aplicaNão se aplicaNão se aplicaNão se aplicaPonta",Mercado_Receita!$N$2:$N$548)</f>
        <v>7.2999999999999995E-2</v>
      </c>
      <c r="J32" s="13">
        <f>SUMIF(Mercado_Receita!$T$2:$T$548,"44470B3Energia horáriaNão se aplicaNão se aplicaNão se aplicaNão se aplicaPonta",Mercado_Receita!$N$2:$N$548)</f>
        <v>0.114</v>
      </c>
      <c r="K32" s="13">
        <f>SUMIF(Mercado_Receita!$T$2:$T$548,"44501B3Energia horáriaNão se aplicaNão se aplicaNão se aplicaNão se aplicaPonta",Mercado_Receita!$N$2:$N$548)</f>
        <v>7.3999999999999996E-2</v>
      </c>
      <c r="L32" s="13">
        <f>SUMIF(Mercado_Receita!$T$2:$T$548,"44531B3Energia horáriaNão se aplicaNão se aplicaNão se aplicaNão se aplicaPonta",Mercado_Receita!$N$2:$N$548)</f>
        <v>0.108</v>
      </c>
      <c r="M32" s="13">
        <f>SUMIF(Mercado_Receita!$T$2:$T$548,"44562B3Energia horáriaNão se aplicaNão se aplicaNão se aplicaNão se aplicaPonta",Mercado_Receita!$N$2:$N$548)</f>
        <v>0.126</v>
      </c>
      <c r="N32" s="13">
        <f>SUMIF(Mercado_Receita!$T$2:$T$548,"44593B3Energia horáriaNão se aplicaNão se aplicaNão se aplicaNão se aplicaPonta",Mercado_Receita!$N$2:$N$548)</f>
        <v>8.6999999999999994E-2</v>
      </c>
      <c r="O32" s="13">
        <f>SUMIF(Mercado_Receita!$T$2:$T$548,"44621B3Energia horáriaNão se aplicaNão se aplicaNão se aplicaNão se aplicaPonta",Mercado_Receita!$N$2:$N$548)</f>
        <v>8.2000000000000003E-2</v>
      </c>
      <c r="P32" s="13">
        <f>SUMIF(Mercado_Receita!$T$2:$T$548,"44652B3Energia horáriaNão se aplicaNão se aplicaNão se aplicaNão se aplicaPonta",Mercado_Receita!$N$2:$N$548)</f>
        <v>6.6000000000000003E-2</v>
      </c>
      <c r="Q32" s="13">
        <f>SUMIF(Mercado_Receita!$T$2:$T$548,"44682B3Energia horáriaNão se aplicaNão se aplicaNão se aplicaNão se aplicaPonta",Mercado_Receita!$N$2:$N$548)</f>
        <v>8.5000000000000006E-2</v>
      </c>
      <c r="R32" s="13">
        <f>SUMIF(Mercado_Receita!$T$2:$T$548,"44713B3Energia horáriaNão se aplicaNão se aplicaNão se aplicaNão se aplicaPonta",Mercado_Receita!$N$2:$N$548)</f>
        <v>9.5000000000000001E-2</v>
      </c>
      <c r="S32" s="13">
        <f>SUMIF(Mercado_Receita!$T$2:$T$548,"44743B3Energia horáriaNão se aplicaNão se aplicaNão se aplicaNão se aplicaPonta",Mercado_Receita!$N$2:$N$548)</f>
        <v>7.6999999999999999E-2</v>
      </c>
      <c r="T32" s="13">
        <f>SUMIF(Mercado_Receita!$T$2:$T$548,"44774B3Energia horáriaNão se aplicaNão se aplicaNão se aplicaNão se aplicaPonta",Mercado_Receita!$N$2:$N$548)</f>
        <v>7.6999999999999999E-2</v>
      </c>
      <c r="U32" s="13">
        <f t="shared" si="0"/>
        <v>1.0639999999999998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84</v>
      </c>
      <c r="H33" s="13" t="s">
        <v>72</v>
      </c>
      <c r="I33" s="13">
        <f>SUMIF(Mercado_Receita!$T$2:$T$548,"44440B3Energia horáriaNão se aplicaNão se aplicaNão se aplicaNão se aplicaIntermediário",Mercado_Receita!$N$2:$N$548)</f>
        <v>0.08</v>
      </c>
      <c r="J33" s="13">
        <f>SUMIF(Mercado_Receita!$T$2:$T$548,"44470B3Energia horáriaNão se aplicaNão se aplicaNão se aplicaNão se aplicaIntermediário",Mercado_Receita!$N$2:$N$548)</f>
        <v>9.5000000000000001E-2</v>
      </c>
      <c r="K33" s="13">
        <f>SUMIF(Mercado_Receita!$T$2:$T$548,"44501B3Energia horáriaNão se aplicaNão se aplicaNão se aplicaNão se aplicaIntermediário",Mercado_Receita!$N$2:$N$548)</f>
        <v>0.104</v>
      </c>
      <c r="L33" s="13">
        <f>SUMIF(Mercado_Receita!$T$2:$T$548,"44531B3Energia horáriaNão se aplicaNão se aplicaNão se aplicaNão se aplicaIntermediário",Mercado_Receita!$N$2:$N$548)</f>
        <v>0.26700000000000002</v>
      </c>
      <c r="M33" s="13">
        <f>SUMIF(Mercado_Receita!$T$2:$T$548,"44562B3Energia horáriaNão se aplicaNão se aplicaNão se aplicaNão se aplicaIntermediário",Mercado_Receita!$N$2:$N$548)</f>
        <v>0.26400000000000001</v>
      </c>
      <c r="N33" s="13">
        <f>SUMIF(Mercado_Receita!$T$2:$T$548,"44593B3Energia horáriaNão se aplicaNão se aplicaNão se aplicaNão se aplicaIntermediário",Mercado_Receita!$N$2:$N$548)</f>
        <v>0.20699999999999999</v>
      </c>
      <c r="O33" s="13">
        <f>SUMIF(Mercado_Receita!$T$2:$T$548,"44621B3Energia horáriaNão se aplicaNão se aplicaNão se aplicaNão se aplicaIntermediário",Mercado_Receita!$N$2:$N$548)</f>
        <v>0.161</v>
      </c>
      <c r="P33" s="13">
        <f>SUMIF(Mercado_Receita!$T$2:$T$548,"44652B3Energia horáriaNão se aplicaNão se aplicaNão se aplicaNão se aplicaIntermediário",Mercado_Receita!$N$2:$N$548)</f>
        <v>0.1</v>
      </c>
      <c r="Q33" s="13">
        <f>SUMIF(Mercado_Receita!$T$2:$T$548,"44682B3Energia horáriaNão se aplicaNão se aplicaNão se aplicaNão se aplicaIntermediário",Mercado_Receita!$N$2:$N$548)</f>
        <v>0.104</v>
      </c>
      <c r="R33" s="13">
        <f>SUMIF(Mercado_Receita!$T$2:$T$548,"44713B3Energia horáriaNão se aplicaNão se aplicaNão se aplicaNão se aplicaIntermediário",Mercado_Receita!$N$2:$N$548)</f>
        <v>0.11</v>
      </c>
      <c r="S33" s="13">
        <f>SUMIF(Mercado_Receita!$T$2:$T$548,"44743B3Energia horáriaNão se aplicaNão se aplicaNão se aplicaNão se aplicaIntermediário",Mercado_Receita!$N$2:$N$548)</f>
        <v>8.7999999999999995E-2</v>
      </c>
      <c r="T33" s="13">
        <f>SUMIF(Mercado_Receita!$T$2:$T$548,"44774B3Energia horáriaNão se aplicaNão se aplicaNão se aplicaNão se aplicaIntermediário",Mercado_Receita!$N$2:$N$548)</f>
        <v>8.7999999999999995E-2</v>
      </c>
      <c r="U33" s="13">
        <f t="shared" si="0"/>
        <v>1.6680000000000006</v>
      </c>
      <c r="V33" s="13"/>
      <c r="W33" s="13"/>
    </row>
    <row r="34" spans="1:23" ht="11.25" customHeight="1" x14ac:dyDescent="0.25">
      <c r="A34" s="77"/>
      <c r="B34" s="77"/>
      <c r="C34" s="77"/>
      <c r="D34" s="77"/>
      <c r="E34" s="77"/>
      <c r="F34" s="77"/>
      <c r="G34" s="13" t="s">
        <v>74</v>
      </c>
      <c r="H34" s="13" t="s">
        <v>72</v>
      </c>
      <c r="I34" s="13">
        <f>SUMIF(Mercado_Receita!$T$2:$T$548,"44440B3Energia horáriaNão se aplicaNão se aplicaNão se aplicaNão se aplicaFora ponta",Mercado_Receita!$N$2:$N$548)</f>
        <v>7.0810000000000004</v>
      </c>
      <c r="J34" s="13">
        <f>SUMIF(Mercado_Receita!$T$2:$T$548,"44470B3Energia horáriaNão se aplicaNão se aplicaNão se aplicaNão se aplicaFora ponta",Mercado_Receita!$N$2:$N$548)</f>
        <v>5.37</v>
      </c>
      <c r="K34" s="13">
        <f>SUMIF(Mercado_Receita!$T$2:$T$548,"44501B3Energia horáriaNão se aplicaNão se aplicaNão se aplicaNão se aplicaFora ponta",Mercado_Receita!$N$2:$N$548)</f>
        <v>5.657</v>
      </c>
      <c r="L34" s="13">
        <f>SUMIF(Mercado_Receita!$T$2:$T$548,"44531B3Energia horáriaNão se aplicaNão se aplicaNão se aplicaNão se aplicaFora ponta",Mercado_Receita!$N$2:$N$548)</f>
        <v>9.1059999999999999</v>
      </c>
      <c r="M34" s="13">
        <f>SUMIF(Mercado_Receita!$T$2:$T$548,"44562B3Energia horáriaNão se aplicaNão se aplicaNão se aplicaNão se aplicaFora ponta",Mercado_Receita!$N$2:$N$548)</f>
        <v>8.2840000000000007</v>
      </c>
      <c r="N34" s="13">
        <f>SUMIF(Mercado_Receita!$T$2:$T$548,"44593B3Energia horáriaNão se aplicaNão se aplicaNão se aplicaNão se aplicaFora ponta",Mercado_Receita!$N$2:$N$548)</f>
        <v>8.5079999999999991</v>
      </c>
      <c r="O34" s="13">
        <f>SUMIF(Mercado_Receita!$T$2:$T$548,"44621B3Energia horáriaNão se aplicaNão se aplicaNão se aplicaNão se aplicaFora ponta",Mercado_Receita!$N$2:$N$548)</f>
        <v>6.3239999999999998</v>
      </c>
      <c r="P34" s="13">
        <f>SUMIF(Mercado_Receita!$T$2:$T$548,"44652B3Energia horáriaNão se aplicaNão se aplicaNão se aplicaNão se aplicaFora ponta",Mercado_Receita!$N$2:$N$548)</f>
        <v>6.3140000000000001</v>
      </c>
      <c r="Q34" s="13">
        <f>SUMIF(Mercado_Receita!$T$2:$T$548,"44682B3Energia horáriaNão se aplicaNão se aplicaNão se aplicaNão se aplicaFora ponta",Mercado_Receita!$N$2:$N$548)</f>
        <v>5.226</v>
      </c>
      <c r="R34" s="13">
        <f>SUMIF(Mercado_Receita!$T$2:$T$548,"44713B3Energia horáriaNão se aplicaNão se aplicaNão se aplicaNão se aplicaFora ponta",Mercado_Receita!$N$2:$N$548)</f>
        <v>4.83</v>
      </c>
      <c r="S34" s="13">
        <f>SUMIF(Mercado_Receita!$T$2:$T$548,"44743B3Energia horáriaNão se aplicaNão se aplicaNão se aplicaNão se aplicaFora ponta",Mercado_Receita!$N$2:$N$548)</f>
        <v>3.302</v>
      </c>
      <c r="T34" s="13">
        <f>SUMIF(Mercado_Receita!$T$2:$T$548,"44774B3Energia horáriaNão se aplicaNão se aplicaNão se aplicaNão se aplicaFora ponta",Mercado_Receita!$N$2:$N$548)</f>
        <v>3.302</v>
      </c>
      <c r="U34" s="13">
        <f t="shared" si="0"/>
        <v>73.304000000000016</v>
      </c>
      <c r="V34" s="13"/>
      <c r="W34" s="13"/>
    </row>
    <row r="35" spans="1:23" ht="11.25" customHeight="1" x14ac:dyDescent="0.25">
      <c r="A35" s="77"/>
      <c r="B35" s="12" t="s">
        <v>85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78</v>
      </c>
      <c r="H35" s="13" t="s">
        <v>72</v>
      </c>
      <c r="I35" s="13">
        <f>SUMIF(Mercado_Receita!$T$2:$T$548,"44440B3Energia convencionalNão se aplicaNão se aplicaNão se aplicaNão se aplicaNão se aplica",Mercado_Receita!$N$2:$N$548)</f>
        <v>1142.395</v>
      </c>
      <c r="J35" s="13">
        <f>SUMIF(Mercado_Receita!$T$2:$T$548,"44470B3Energia convencionalNão se aplicaNão se aplicaNão se aplicaNão se aplicaNão se aplica",Mercado_Receita!$N$2:$N$548)</f>
        <v>1118.4570000000001</v>
      </c>
      <c r="K35" s="13">
        <f>SUMIF(Mercado_Receita!$T$2:$T$548,"44501B3Energia convencionalNão se aplicaNão se aplicaNão se aplicaNão se aplicaNão se aplica",Mercado_Receita!$N$2:$N$548)</f>
        <v>1163.2949999999998</v>
      </c>
      <c r="L35" s="13">
        <f>SUMIF(Mercado_Receita!$T$2:$T$548,"44531B3Energia convencionalNão se aplicaNão se aplicaNão se aplicaNão se aplicaNão se aplica",Mercado_Receita!$N$2:$N$548)</f>
        <v>1281.3029999999999</v>
      </c>
      <c r="M35" s="13">
        <f>SUMIF(Mercado_Receita!$T$2:$T$548,"44562B3Energia convencionalNão se aplicaNão se aplicaNão se aplicaNão se aplicaNão se aplica",Mercado_Receita!$N$2:$N$548)</f>
        <v>1350.6220000000001</v>
      </c>
      <c r="N35" s="13">
        <f>SUMIF(Mercado_Receita!$T$2:$T$548,"44593B3Energia convencionalNão se aplicaNão se aplicaNão se aplicaNão se aplicaNão se aplica",Mercado_Receita!$N$2:$N$548)</f>
        <v>1482.7639999999999</v>
      </c>
      <c r="O35" s="13">
        <f>SUMIF(Mercado_Receita!$T$2:$T$548,"44621B3Energia convencionalNão se aplicaNão se aplicaNão se aplicaNão se aplicaNão se aplica",Mercado_Receita!$N$2:$N$548)</f>
        <v>1364.8459999999998</v>
      </c>
      <c r="P35" s="13">
        <f>SUMIF(Mercado_Receita!$T$2:$T$548,"44652B3Energia convencionalNão se aplicaNão se aplicaNão se aplicaNão se aplicaNão se aplica",Mercado_Receita!$N$2:$N$548)</f>
        <v>1207.3440000000001</v>
      </c>
      <c r="Q35" s="13">
        <f>SUMIF(Mercado_Receita!$T$2:$T$548,"44682B3Energia convencionalNão se aplicaNão se aplicaNão se aplicaNão se aplicaNão se aplica",Mercado_Receita!$N$2:$N$548)</f>
        <v>1096.0800000000002</v>
      </c>
      <c r="R35" s="13">
        <f>SUMIF(Mercado_Receita!$T$2:$T$548,"44713B3Energia convencionalNão se aplicaNão se aplicaNão se aplicaNão se aplicaNão se aplica",Mercado_Receita!$N$2:$N$548)</f>
        <v>1113.633</v>
      </c>
      <c r="S35" s="13">
        <f>SUMIF(Mercado_Receita!$T$2:$T$548,"44743B3Energia convencionalNão se aplicaNão se aplicaNão se aplicaNão se aplicaNão se aplica",Mercado_Receita!$N$2:$N$548)</f>
        <v>1135.6020000000001</v>
      </c>
      <c r="T35" s="13">
        <f>SUMIF(Mercado_Receita!$T$2:$T$548,"44774B3Energia convencionalNão se aplicaNão se aplicaNão se aplicaNão se aplicaNão se aplica",Mercado_Receita!$N$2:$N$548)</f>
        <v>1135.6020000000001</v>
      </c>
      <c r="U35" s="13">
        <f t="shared" si="0"/>
        <v>14591.943000000003</v>
      </c>
      <c r="V35" s="13"/>
      <c r="W35" s="13"/>
    </row>
    <row r="36" spans="1:23" ht="11.25" customHeight="1" x14ac:dyDescent="0.25">
      <c r="A36" s="77"/>
      <c r="B36" s="12" t="s">
        <v>86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78</v>
      </c>
      <c r="H36" s="13" t="s">
        <v>72</v>
      </c>
      <c r="I36" s="13">
        <f>SUMIF(Mercado_Receita!$T$2:$T$548,"44440B3Energia convencional pré-pagamentoNão se aplicaNão se aplicaNão se aplicaNão se aplicaNão se aplica",Mercado_Receita!$N$2:$N$548)</f>
        <v>0</v>
      </c>
      <c r="J36" s="13">
        <f>SUMIF(Mercado_Receita!$T$2:$T$548,"44470B3Energia convencional pré-pagamentoNão se aplicaNão se aplicaNão se aplicaNão se aplicaNão se aplica",Mercado_Receita!$N$2:$N$548)</f>
        <v>0</v>
      </c>
      <c r="K36" s="13">
        <f>SUMIF(Mercado_Receita!$T$2:$T$548,"44501B3Energia convencional pré-pagamentoNão se aplicaNão se aplicaNão se aplicaNão se aplicaNão se aplica",Mercado_Receita!$N$2:$N$548)</f>
        <v>0</v>
      </c>
      <c r="L36" s="13">
        <f>SUMIF(Mercado_Receita!$T$2:$T$548,"44531B3Energia convencional pré-pagamentoNão se aplicaNão se aplicaNão se aplicaNão se aplicaNão se aplica",Mercado_Receita!$N$2:$N$548)</f>
        <v>0</v>
      </c>
      <c r="M36" s="13">
        <f>SUMIF(Mercado_Receita!$T$2:$T$548,"44562B3Energia convencional pré-pagamentoNão se aplicaNão se aplicaNão se aplicaNão se aplicaNão se aplica",Mercado_Receita!$N$2:$N$548)</f>
        <v>0</v>
      </c>
      <c r="N36" s="13">
        <f>SUMIF(Mercado_Receita!$T$2:$T$548,"44593B3Energia convencional pré-pagamentoNão se aplicaNão se aplicaNão se aplicaNão se aplicaNão se aplica",Mercado_Receita!$N$2:$N$548)</f>
        <v>0</v>
      </c>
      <c r="O36" s="13">
        <f>SUMIF(Mercado_Receita!$T$2:$T$548,"44621B3Energia convencional pré-pagamentoNão se aplicaNão se aplicaNão se aplicaNão se aplicaNão se aplica",Mercado_Receita!$N$2:$N$548)</f>
        <v>0</v>
      </c>
      <c r="P36" s="13">
        <f>SUMIF(Mercado_Receita!$T$2:$T$548,"44652B3Energia convencional pré-pagamentoNão se aplicaNão se aplicaNão se aplicaNão se aplicaNão se aplica",Mercado_Receita!$N$2:$N$548)</f>
        <v>0</v>
      </c>
      <c r="Q36" s="13">
        <f>SUMIF(Mercado_Receita!$T$2:$T$548,"44682B3Energia convencional pré-pagamentoNão se aplicaNão se aplicaNão se aplicaNão se aplicaNão se aplica",Mercado_Receita!$N$2:$N$548)</f>
        <v>0</v>
      </c>
      <c r="R36" s="13">
        <f>SUMIF(Mercado_Receita!$T$2:$T$548,"44713B3Energia convencional pré-pagamentoNão se aplicaNão se aplicaNão se aplicaNão se aplicaNão se aplica",Mercado_Receita!$N$2:$N$548)</f>
        <v>0</v>
      </c>
      <c r="S36" s="13">
        <f>SUMIF(Mercado_Receita!$T$2:$T$548,"44743B3Energia convencional pré-pagamentoNão se aplicaNão se aplicaNão se aplicaNão se aplicaNão se aplica",Mercado_Receita!$N$2:$N$548)</f>
        <v>0</v>
      </c>
      <c r="T36" s="13">
        <f>SUMIF(Mercado_Receita!$T$2:$T$548,"44774B3Energia convencional pré-pagamentoNão se aplicaNão se aplicaNão se aplicaNão se aplicaNão se aplica",Mercado_Receita!$N$2:$N$548)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6" t="s">
        <v>46</v>
      </c>
      <c r="B37" s="76" t="s">
        <v>85</v>
      </c>
      <c r="C37" s="76" t="s">
        <v>47</v>
      </c>
      <c r="D37" s="12" t="s">
        <v>48</v>
      </c>
      <c r="E37" s="12" t="s">
        <v>25</v>
      </c>
      <c r="F37" s="12" t="s">
        <v>25</v>
      </c>
      <c r="G37" s="13" t="s">
        <v>78</v>
      </c>
      <c r="H37" s="13" t="s">
        <v>72</v>
      </c>
      <c r="I37" s="13">
        <f>SUMIF(Mercado_Receita!$T$2:$T$548,"44440B4Energia convencionalIluminação públicaIluminação pública – B4aNão se aplicaNão se aplicaNão se aplica",Mercado_Receita!$N$2:$N$548)</f>
        <v>432.84500000000003</v>
      </c>
      <c r="J37" s="13">
        <f>SUMIF(Mercado_Receita!$T$2:$T$548,"44470B4Energia convencionalIluminação públicaIluminação pública – B4aNão se aplicaNão se aplicaNão se aplica",Mercado_Receita!$N$2:$N$548)</f>
        <v>398.983</v>
      </c>
      <c r="K37" s="13">
        <f>SUMIF(Mercado_Receita!$T$2:$T$548,"44501B4Energia convencionalIluminação públicaIluminação pública – B4aNão se aplicaNão se aplicaNão se aplica",Mercado_Receita!$N$2:$N$548)</f>
        <v>370.55399999999997</v>
      </c>
      <c r="L37" s="13">
        <f>SUMIF(Mercado_Receita!$T$2:$T$548,"44531B4Energia convencionalIluminação públicaIluminação pública – B4aNão se aplicaNão se aplicaNão se aplica",Mercado_Receita!$N$2:$N$548)</f>
        <v>359.423</v>
      </c>
      <c r="M37" s="13">
        <f>SUMIF(Mercado_Receita!$T$2:$T$548,"44562B4Energia convencionalIluminação públicaIluminação pública – B4aNão se aplicaNão se aplicaNão se aplica",Mercado_Receita!$N$2:$N$548)</f>
        <v>364.65699999999998</v>
      </c>
      <c r="N37" s="13">
        <f>SUMIF(Mercado_Receita!$T$2:$T$548,"44593B4Energia convencionalIluminação públicaIluminação pública – B4aNão se aplicaNão se aplicaNão se aplica",Mercado_Receita!$N$2:$N$548)</f>
        <v>388.91399999999999</v>
      </c>
      <c r="O37" s="13">
        <f>SUMIF(Mercado_Receita!$T$2:$T$548,"44621B4Energia convencionalIluminação públicaIluminação pública – B4aNão se aplicaNão se aplicaNão se aplica",Mercado_Receita!$N$2:$N$548)</f>
        <v>420.53800000000001</v>
      </c>
      <c r="P37" s="13">
        <f>SUMIF(Mercado_Receita!$T$2:$T$548,"44652B4Energia convencionalIluminação públicaIluminação pública – B4aNão se aplicaNão se aplicaNão se aplica",Mercado_Receita!$N$2:$N$548)</f>
        <v>452.99599999999998</v>
      </c>
      <c r="Q37" s="13">
        <f>SUMIF(Mercado_Receita!$T$2:$T$548,"44682B4Energia convencionalIluminação públicaIluminação pública – B4aNão se aplicaNão se aplicaNão se aplica",Mercado_Receita!$N$2:$N$548)</f>
        <v>479.12</v>
      </c>
      <c r="R37" s="13">
        <f>SUMIF(Mercado_Receita!$T$2:$T$548,"44713B4Energia convencionalIluminação públicaIluminação pública – B4aNão se aplicaNão se aplicaNão se aplica",Mercado_Receita!$N$2:$N$548)</f>
        <v>492.63400000000001</v>
      </c>
      <c r="S37" s="13">
        <f>SUMIF(Mercado_Receita!$T$2:$T$548,"44743B4Energia convencionalIluminação públicaIluminação pública – B4aNão se aplicaNão se aplicaNão se aplica",Mercado_Receita!$N$2:$N$548)</f>
        <v>488.19900000000001</v>
      </c>
      <c r="T37" s="13">
        <f>SUMIF(Mercado_Receita!$T$2:$T$548,"44774B4Energia convencionalIluminação públicaIluminação pública – B4aNão se aplicaNão se aplicaNão se aplica",Mercado_Receita!$N$2:$N$548)</f>
        <v>488.19900000000001</v>
      </c>
      <c r="U37" s="13">
        <f t="shared" si="0"/>
        <v>5137.0619999999999</v>
      </c>
      <c r="V37" s="13"/>
      <c r="W37" s="13"/>
    </row>
    <row r="38" spans="1:23" ht="11.25" customHeight="1" x14ac:dyDescent="0.25">
      <c r="A38" s="77"/>
      <c r="B38" s="77"/>
      <c r="C38" s="77"/>
      <c r="D38" s="13" t="s">
        <v>90</v>
      </c>
      <c r="E38" s="13" t="s">
        <v>25</v>
      </c>
      <c r="F38" s="13" t="s">
        <v>25</v>
      </c>
      <c r="G38" s="13" t="s">
        <v>78</v>
      </c>
      <c r="H38" s="13" t="s">
        <v>72</v>
      </c>
      <c r="I38" s="13">
        <f>SUMIF(Mercado_Receita!$T$2:$T$548,"44440B4Energia convencionalIluminação públicaIluminação pública – B4bNão se aplicaNão se aplicaNão se aplica",Mercado_Receita!$N$2:$N$548)</f>
        <v>0</v>
      </c>
      <c r="J38" s="13">
        <f>SUMIF(Mercado_Receita!$T$2:$T$548,"44470B4Energia convencionalIluminação públicaIluminação pública – B4bNão se aplicaNão se aplicaNão se aplica",Mercado_Receita!$N$2:$N$548)</f>
        <v>0</v>
      </c>
      <c r="K38" s="13">
        <f>SUMIF(Mercado_Receita!$T$2:$T$548,"44501B4Energia convencionalIluminação públicaIluminação pública – B4bNão se aplicaNão se aplicaNão se aplica",Mercado_Receita!$N$2:$N$548)</f>
        <v>0</v>
      </c>
      <c r="L38" s="13">
        <f>SUMIF(Mercado_Receita!$T$2:$T$548,"44531B4Energia convencionalIluminação públicaIluminação pública – B4bNão se aplicaNão se aplicaNão se aplica",Mercado_Receita!$N$2:$N$548)</f>
        <v>0</v>
      </c>
      <c r="M38" s="13">
        <f>SUMIF(Mercado_Receita!$T$2:$T$548,"44562B4Energia convencionalIluminação públicaIluminação pública – B4bNão se aplicaNão se aplicaNão se aplica",Mercado_Receita!$N$2:$N$548)</f>
        <v>0</v>
      </c>
      <c r="N38" s="13">
        <f>SUMIF(Mercado_Receita!$T$2:$T$548,"44593B4Energia convencionalIluminação públicaIluminação pública – B4bNão se aplicaNão se aplicaNão se aplica",Mercado_Receita!$N$2:$N$548)</f>
        <v>0</v>
      </c>
      <c r="O38" s="13">
        <f>SUMIF(Mercado_Receita!$T$2:$T$548,"44621B4Energia convencionalIluminação públicaIluminação pública – B4bNão se aplicaNão se aplicaNão se aplica",Mercado_Receita!$N$2:$N$548)</f>
        <v>0</v>
      </c>
      <c r="P38" s="13">
        <f>SUMIF(Mercado_Receita!$T$2:$T$548,"44652B4Energia convencionalIluminação públicaIluminação pública – B4bNão se aplicaNão se aplicaNão se aplica",Mercado_Receita!$N$2:$N$548)</f>
        <v>0</v>
      </c>
      <c r="Q38" s="13">
        <f>SUMIF(Mercado_Receita!$T$2:$T$548,"44682B4Energia convencionalIluminação públicaIluminação pública – B4bNão se aplicaNão se aplicaNão se aplica",Mercado_Receita!$N$2:$N$548)</f>
        <v>0</v>
      </c>
      <c r="R38" s="13">
        <f>SUMIF(Mercado_Receita!$T$2:$T$548,"44713B4Energia convencionalIluminação públicaIluminação pública – B4bNão se aplicaNão se aplicaNão se aplica",Mercado_Receita!$N$2:$N$548)</f>
        <v>0</v>
      </c>
      <c r="S38" s="13">
        <f>SUMIF(Mercado_Receita!$T$2:$T$548,"44743B4Energia convencionalIluminação públicaIluminação pública – B4bNão se aplicaNão se aplicaNão se aplica",Mercado_Receita!$N$2:$N$548)</f>
        <v>0</v>
      </c>
      <c r="T38" s="13">
        <f>SUMIF(Mercado_Receita!$T$2:$T$548,"44774B4Energia convencionalIluminação públicaIluminação pública – B4bNão se aplicaNão se aplicaNão se aplica",Mercado_Receita!$N$2:$N$548)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8" t="s">
        <v>445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F5F4-BA73-413D-9FDE-F1FEBB7A8701}">
  <dimension ref="A1:AD200"/>
  <sheetViews>
    <sheetView showGridLines="0" topLeftCell="A19" workbookViewId="0">
      <selection activeCell="D48" sqref="D48:E48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6.7109375" style="14" customWidth="1"/>
    <col min="17" max="16384" width="9.140625" style="14"/>
  </cols>
  <sheetData>
    <row r="1" spans="1:30" ht="12" customHeight="1" x14ac:dyDescent="0.2">
      <c r="A1" s="10" t="s">
        <v>485</v>
      </c>
      <c r="B1" s="10" t="s">
        <v>486</v>
      </c>
      <c r="C1" s="10" t="s">
        <v>487</v>
      </c>
      <c r="D1" s="10" t="s">
        <v>488</v>
      </c>
      <c r="E1" s="10" t="s">
        <v>489</v>
      </c>
      <c r="F1" s="10" t="s">
        <v>490</v>
      </c>
      <c r="G1" s="7"/>
      <c r="H1" s="7"/>
      <c r="I1" s="7"/>
      <c r="J1" s="7"/>
      <c r="K1" s="7"/>
      <c r="L1" s="85" t="s">
        <v>491</v>
      </c>
      <c r="M1" s="86"/>
      <c r="N1" s="7"/>
      <c r="O1" s="85" t="s">
        <v>578</v>
      </c>
      <c r="P1" s="90"/>
      <c r="Q1" s="90"/>
      <c r="R1" s="90"/>
      <c r="S1" s="90"/>
      <c r="T1" s="90"/>
      <c r="U1" s="90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7" t="s">
        <v>446</v>
      </c>
      <c r="B2" s="87" t="s">
        <v>447</v>
      </c>
      <c r="C2" s="16" t="s">
        <v>532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492</v>
      </c>
      <c r="M2" s="17">
        <v>0.1195</v>
      </c>
      <c r="N2" s="15"/>
      <c r="O2" s="34" t="s">
        <v>579</v>
      </c>
      <c r="P2" s="34" t="s">
        <v>580</v>
      </c>
      <c r="Q2" s="34" t="s">
        <v>581</v>
      </c>
      <c r="R2" s="34" t="s">
        <v>35</v>
      </c>
      <c r="S2" s="34" t="s">
        <v>582</v>
      </c>
      <c r="T2" s="34" t="s">
        <v>81</v>
      </c>
      <c r="U2" s="34"/>
      <c r="V2" s="15"/>
      <c r="W2" s="15"/>
      <c r="X2" s="13" t="s">
        <v>545</v>
      </c>
      <c r="Y2" s="15"/>
      <c r="Z2" s="15"/>
      <c r="AA2" s="15" t="s">
        <v>590</v>
      </c>
      <c r="AB2" s="15"/>
      <c r="AC2" s="15"/>
      <c r="AD2" s="15"/>
    </row>
    <row r="3" spans="1:30" ht="12" customHeight="1" x14ac:dyDescent="0.2">
      <c r="A3" s="88"/>
      <c r="B3" s="88"/>
      <c r="C3" s="16" t="s">
        <v>448</v>
      </c>
      <c r="D3" s="13">
        <v>133762.32262577442</v>
      </c>
      <c r="E3" s="13">
        <v>-3652.6782808927237</v>
      </c>
      <c r="F3" s="13">
        <v>0</v>
      </c>
      <c r="G3" s="15"/>
      <c r="H3" s="15"/>
      <c r="I3" s="15"/>
      <c r="J3" s="15"/>
      <c r="K3" s="15"/>
      <c r="L3" s="13" t="s">
        <v>493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583</v>
      </c>
      <c r="V3" s="15"/>
      <c r="W3" s="15"/>
      <c r="X3" s="13" t="s">
        <v>546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8"/>
      <c r="B4" s="88"/>
      <c r="C4" s="16" t="s">
        <v>449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494</v>
      </c>
      <c r="M4" s="17">
        <v>8.5874515481677571E-2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80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8"/>
      <c r="B5" s="88"/>
      <c r="C5" s="16" t="s">
        <v>450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495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8"/>
      <c r="B6" s="88"/>
      <c r="C6" s="16" t="s">
        <v>451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496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8"/>
      <c r="B7" s="88"/>
      <c r="C7" s="16" t="s">
        <v>452</v>
      </c>
      <c r="D7" s="13">
        <v>11535786.343379999</v>
      </c>
      <c r="E7" s="13">
        <v>-349542.0553979844</v>
      </c>
      <c r="F7" s="13">
        <v>0</v>
      </c>
      <c r="G7" s="15"/>
      <c r="H7" s="15"/>
      <c r="I7" s="15"/>
      <c r="J7" s="15"/>
      <c r="K7" s="15"/>
      <c r="L7" s="13" t="s">
        <v>497</v>
      </c>
      <c r="M7" s="13">
        <f>M8+M9+M10+M11</f>
        <v>8701.0570000000098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8"/>
      <c r="B8" s="88"/>
      <c r="C8" s="16" t="s">
        <v>453</v>
      </c>
      <c r="D8" s="13">
        <v>2028549.6268199999</v>
      </c>
      <c r="E8" s="13">
        <v>-61869.648417803073</v>
      </c>
      <c r="F8" s="13">
        <v>0</v>
      </c>
      <c r="G8" s="15"/>
      <c r="H8" s="15"/>
      <c r="I8" s="15"/>
      <c r="J8" s="15"/>
      <c r="K8" s="15"/>
      <c r="L8" s="18" t="s">
        <v>498</v>
      </c>
      <c r="M8" s="13">
        <v>8701.0570000000098</v>
      </c>
      <c r="N8" s="15"/>
      <c r="O8" s="13" t="s">
        <v>531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8"/>
      <c r="B9" s="88"/>
      <c r="C9" s="16" t="s">
        <v>454</v>
      </c>
      <c r="D9" s="13"/>
      <c r="E9" s="13"/>
      <c r="F9" s="13"/>
      <c r="G9" s="15"/>
      <c r="H9" s="15"/>
      <c r="I9" s="15"/>
      <c r="J9" s="15"/>
      <c r="K9" s="15"/>
      <c r="L9" s="19" t="s">
        <v>499</v>
      </c>
      <c r="M9" s="13">
        <v>0</v>
      </c>
      <c r="N9" s="15"/>
      <c r="O9" s="13" t="s">
        <v>536</v>
      </c>
      <c r="P9" s="22">
        <f>SUM(Mercado_Receita!$J$2:$J$548)</f>
        <v>335990</v>
      </c>
      <c r="Q9" s="22">
        <v>335990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8"/>
      <c r="B10" s="89"/>
      <c r="C10" s="16" t="s">
        <v>455</v>
      </c>
      <c r="D10" s="13">
        <f>SUM(D$2:D9)</f>
        <v>13698098.292825773</v>
      </c>
      <c r="E10" s="13">
        <f>SUM(E$2:E9)</f>
        <v>-415064.38209668017</v>
      </c>
      <c r="F10" s="13">
        <f>SUM(F$2:F9)</f>
        <v>0</v>
      </c>
      <c r="G10" s="15"/>
      <c r="H10" s="15"/>
      <c r="I10" s="15"/>
      <c r="J10" s="15"/>
      <c r="K10" s="15"/>
      <c r="L10" s="18" t="s">
        <v>500</v>
      </c>
      <c r="M10" s="13">
        <v>0</v>
      </c>
      <c r="N10" s="15"/>
      <c r="O10" s="13" t="s">
        <v>537</v>
      </c>
      <c r="P10" s="22">
        <f>SUM(Mercado_Receita!$L$2:$L$548)</f>
        <v>144897.01799999981</v>
      </c>
      <c r="Q10" s="22">
        <v>144897.01800000001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8"/>
      <c r="B11" s="87" t="s">
        <v>456</v>
      </c>
      <c r="C11" s="16" t="s">
        <v>457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501</v>
      </c>
      <c r="M11" s="13">
        <v>0</v>
      </c>
      <c r="N11" s="15"/>
      <c r="O11" s="13" t="s">
        <v>538</v>
      </c>
      <c r="P11" s="22">
        <f>SUM(Mercado_Receita!$N$2:$N$548)</f>
        <v>144897.01799999981</v>
      </c>
      <c r="Q11" s="22">
        <v>144897.01800000001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8"/>
      <c r="B12" s="88"/>
      <c r="C12" s="16" t="s">
        <v>458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502</v>
      </c>
      <c r="M12" s="13">
        <v>153598.07499999998</v>
      </c>
      <c r="N12" s="15"/>
      <c r="O12" s="13" t="s">
        <v>539</v>
      </c>
      <c r="P12" s="22">
        <f>SUMIF('MERCADO TUSD'!$H$2:$H$48,"kW",'MERCADO TUSD'!$U$2:$U$48)</f>
        <v>335990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8"/>
      <c r="B13" s="88"/>
      <c r="C13" s="16" t="s">
        <v>459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503</v>
      </c>
      <c r="M13" s="13">
        <v>2416.7616097665855</v>
      </c>
      <c r="N13" s="15"/>
      <c r="O13" s="13" t="s">
        <v>540</v>
      </c>
      <c r="P13" s="22">
        <f>SUMIF('MERCADO TUSD'!$H$2:$H$48,"MWh",'MERCADO TUSD'!$U$2:$U$48)</f>
        <v>144897.01800000001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8"/>
      <c r="B14" s="88"/>
      <c r="C14" s="16" t="s">
        <v>460</v>
      </c>
      <c r="D14" s="13"/>
      <c r="E14" s="13"/>
      <c r="F14" s="13"/>
      <c r="G14" s="15"/>
      <c r="H14" s="15"/>
      <c r="I14" s="15"/>
      <c r="J14" s="15"/>
      <c r="K14" s="15"/>
      <c r="L14" s="13" t="s">
        <v>504</v>
      </c>
      <c r="M14" s="13">
        <v>144.71298117076225</v>
      </c>
      <c r="N14" s="15"/>
      <c r="O14" s="13" t="s">
        <v>541</v>
      </c>
      <c r="P14" s="22">
        <f>SUMIF('MERCADO TE'!$H$2:$H$38,"MWh",'MERCADO TE'!$U$2:$U$38)</f>
        <v>144897.01800000001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8"/>
      <c r="B15" s="88"/>
      <c r="C15" s="16" t="s">
        <v>461</v>
      </c>
      <c r="D15" s="13">
        <v>11589713.29614</v>
      </c>
      <c r="E15" s="13">
        <v>365137.38193692808</v>
      </c>
      <c r="F15" s="13">
        <v>0</v>
      </c>
      <c r="G15" s="15"/>
      <c r="H15" s="15"/>
      <c r="I15" s="15"/>
      <c r="J15" s="15"/>
      <c r="K15" s="15"/>
      <c r="L15" s="13" t="s">
        <v>505</v>
      </c>
      <c r="M15" s="13">
        <f>M14*M12</f>
        <v>22227635.335340325</v>
      </c>
      <c r="N15" s="15"/>
      <c r="O15" s="13" t="s">
        <v>542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8"/>
      <c r="B16" s="88"/>
      <c r="C16" s="16" t="s">
        <v>462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506</v>
      </c>
      <c r="M16" s="13">
        <v>-1577451.2056800572</v>
      </c>
      <c r="N16" s="15"/>
      <c r="O16" s="13" t="s">
        <v>543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8"/>
      <c r="B17" s="88"/>
      <c r="C17" s="16" t="s">
        <v>463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507</v>
      </c>
      <c r="M17" s="13">
        <v>0</v>
      </c>
      <c r="N17" s="15"/>
      <c r="O17" s="13" t="s">
        <v>544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8"/>
      <c r="B18" s="89"/>
      <c r="C18" s="16" t="s">
        <v>455</v>
      </c>
      <c r="D18" s="13">
        <f>SUM(D$11:D17)</f>
        <v>11589713.29614</v>
      </c>
      <c r="E18" s="13">
        <f>SUM(E$11:E17)</f>
        <v>365137.38193692808</v>
      </c>
      <c r="F18" s="13">
        <f>SUM(F$11:F17)</f>
        <v>0</v>
      </c>
      <c r="G18" s="15"/>
      <c r="H18" s="15"/>
      <c r="I18" s="15"/>
      <c r="J18" s="15"/>
      <c r="K18" s="15"/>
      <c r="L18" s="13" t="s">
        <v>508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8"/>
      <c r="B19" s="87" t="s">
        <v>464</v>
      </c>
      <c r="C19" s="16" t="s">
        <v>465</v>
      </c>
      <c r="D19" s="13">
        <v>30237728.700547267</v>
      </c>
      <c r="E19" s="13">
        <v>-1327071.3845209642</v>
      </c>
      <c r="F19" s="13">
        <v>0</v>
      </c>
      <c r="G19" s="15"/>
      <c r="H19" s="15"/>
      <c r="I19" s="15"/>
      <c r="J19" s="15"/>
      <c r="K19" s="15"/>
      <c r="L19" s="13" t="s">
        <v>509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8"/>
      <c r="B20" s="89"/>
      <c r="C20" s="16" t="s">
        <v>455</v>
      </c>
      <c r="D20" s="13">
        <f>SUM(D$19:D19)</f>
        <v>30237728.700547267</v>
      </c>
      <c r="E20" s="13">
        <f>SUM(E$19:E19)</f>
        <v>-1327071.3845209642</v>
      </c>
      <c r="F20" s="13">
        <f>SUM(F$19:F19)</f>
        <v>0</v>
      </c>
      <c r="G20" s="15"/>
      <c r="H20" s="15"/>
      <c r="I20" s="15"/>
      <c r="J20" s="15"/>
      <c r="K20" s="15"/>
      <c r="L20" s="13" t="s">
        <v>510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8"/>
      <c r="B21" s="87" t="s">
        <v>466</v>
      </c>
      <c r="C21" s="16" t="s">
        <v>467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511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8"/>
      <c r="B22" s="88"/>
      <c r="C22" s="16" t="s">
        <v>468</v>
      </c>
      <c r="D22" s="13"/>
      <c r="E22" s="13"/>
      <c r="F22" s="13"/>
      <c r="G22" s="15"/>
      <c r="H22" s="15"/>
      <c r="I22" s="15"/>
      <c r="J22" s="15"/>
      <c r="K22" s="15"/>
      <c r="L22" s="13" t="s">
        <v>533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8"/>
      <c r="B23" s="89"/>
      <c r="C23" s="16" t="s">
        <v>455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512</v>
      </c>
      <c r="M23" s="13">
        <v>15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8"/>
      <c r="B24" s="87" t="s">
        <v>469</v>
      </c>
      <c r="C24" s="16" t="s">
        <v>470</v>
      </c>
      <c r="D24" s="13">
        <f>$M$14*$M$8</f>
        <v>1259155.8978067304</v>
      </c>
      <c r="E24" s="13">
        <f>$M$16*$M$8/$M$12</f>
        <v>-89359.797349940214</v>
      </c>
      <c r="F24" s="13">
        <f>$M$17*$M$8/$M$12</f>
        <v>0</v>
      </c>
      <c r="G24" s="15"/>
      <c r="H24" s="15"/>
      <c r="I24" s="15"/>
      <c r="J24" s="15"/>
      <c r="K24" s="15"/>
      <c r="L24" s="13" t="s">
        <v>513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8"/>
      <c r="B25" s="88"/>
      <c r="C25" s="16" t="s">
        <v>471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3" t="s">
        <v>514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8"/>
      <c r="B26" s="88"/>
      <c r="C26" s="16" t="s">
        <v>472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515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8"/>
      <c r="B27" s="88"/>
      <c r="C27" s="16" t="s">
        <v>473</v>
      </c>
      <c r="D27" s="13"/>
      <c r="E27" s="13"/>
      <c r="F27" s="13"/>
      <c r="G27" s="15"/>
      <c r="H27" s="15"/>
      <c r="I27" s="15"/>
      <c r="J27" s="15"/>
      <c r="K27" s="15"/>
      <c r="L27" s="13" t="s">
        <v>516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8"/>
      <c r="B28" s="89"/>
      <c r="C28" s="16" t="s">
        <v>455</v>
      </c>
      <c r="D28" s="13">
        <f>SUM(D$24:D27)</f>
        <v>1259155.8978067304</v>
      </c>
      <c r="E28" s="13">
        <f>SUM(E$24:E27)</f>
        <v>-89359.797349940214</v>
      </c>
      <c r="F28" s="13">
        <f>SUM(F$24:F27)</f>
        <v>0</v>
      </c>
      <c r="G28" s="15"/>
      <c r="H28" s="15"/>
      <c r="I28" s="15"/>
      <c r="J28" s="15"/>
      <c r="K28" s="15"/>
      <c r="L28" s="13" t="s">
        <v>517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9"/>
      <c r="B29" s="82" t="s">
        <v>455</v>
      </c>
      <c r="C29" s="84"/>
      <c r="D29" s="13">
        <f>SUMIF(C$2:C28,"SUBTOTAL",D$2:D28)</f>
        <v>56784696.18731977</v>
      </c>
      <c r="E29" s="13">
        <f>SUMIF(C$2:C28,"SUBTOTAL",E$2:E28)</f>
        <v>-1466358.1820306566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518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7" t="s">
        <v>474</v>
      </c>
      <c r="B30" s="87" t="s">
        <v>447</v>
      </c>
      <c r="C30" s="16" t="s">
        <v>449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519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8"/>
      <c r="B31" s="88"/>
      <c r="C31" s="16" t="s">
        <v>475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3" t="s">
        <v>520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8"/>
      <c r="B32" s="88"/>
      <c r="C32" s="16" t="s">
        <v>476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521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8"/>
      <c r="B33" s="88"/>
      <c r="C33" s="16" t="s">
        <v>535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522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8"/>
      <c r="B34" s="88"/>
      <c r="C34" s="16" t="s">
        <v>477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523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8"/>
      <c r="B35" s="89"/>
      <c r="C35" s="16" t="s">
        <v>455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3" t="s">
        <v>524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8"/>
      <c r="B36" s="87" t="s">
        <v>478</v>
      </c>
      <c r="C36" s="16" t="s">
        <v>479</v>
      </c>
      <c r="D36" s="13">
        <f>$M$14*($M$12-$M$7)</f>
        <v>20968479.437533595</v>
      </c>
      <c r="E36" s="13">
        <f>$M$16*($M$12-$M$7)/$M$12</f>
        <v>-1488091.4083301171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525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8"/>
      <c r="B37" s="89"/>
      <c r="C37" s="16" t="s">
        <v>455</v>
      </c>
      <c r="D37" s="13">
        <f>SUM(D$36:D36)</f>
        <v>20968479.437533595</v>
      </c>
      <c r="E37" s="13">
        <f>SUM(E$36:E36)</f>
        <v>-1488091.4083301171</v>
      </c>
      <c r="F37" s="13">
        <f>SUM(F$36:F36)</f>
        <v>0</v>
      </c>
      <c r="G37" s="15"/>
      <c r="H37" s="15"/>
      <c r="I37" s="15"/>
      <c r="J37" s="15"/>
      <c r="K37" s="15"/>
      <c r="L37" s="13" t="s">
        <v>526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8"/>
      <c r="B38" s="87" t="s">
        <v>456</v>
      </c>
      <c r="C38" s="16" t="s">
        <v>480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527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584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8"/>
      <c r="B39" s="88"/>
      <c r="C39" s="16" t="s">
        <v>481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528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601</v>
      </c>
      <c r="P39" s="15" t="s">
        <v>602</v>
      </c>
      <c r="Q39" s="15" t="s">
        <v>603</v>
      </c>
      <c r="R39" s="15" t="s">
        <v>604</v>
      </c>
      <c r="S39" s="15" t="s">
        <v>1</v>
      </c>
      <c r="T39" s="15" t="s">
        <v>605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8"/>
      <c r="B40" s="88"/>
      <c r="C40" s="16" t="s">
        <v>482</v>
      </c>
      <c r="D40" s="13"/>
      <c r="E40" s="13"/>
      <c r="F40" s="13"/>
      <c r="G40" s="15"/>
      <c r="H40" s="15"/>
      <c r="I40" s="15"/>
      <c r="J40" s="15"/>
      <c r="K40" s="15"/>
      <c r="L40" s="13" t="s">
        <v>529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8"/>
      <c r="B41" s="89"/>
      <c r="C41" s="16" t="s">
        <v>455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8"/>
      <c r="B42" s="87" t="s">
        <v>466</v>
      </c>
      <c r="C42" s="16" t="s">
        <v>467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8"/>
      <c r="B43" s="89"/>
      <c r="C43" s="16" t="s">
        <v>455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8"/>
      <c r="B44" s="87" t="s">
        <v>469</v>
      </c>
      <c r="C44" s="16" t="s">
        <v>483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8"/>
      <c r="B45" s="89"/>
      <c r="C45" s="16" t="s">
        <v>455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9"/>
      <c r="B46" s="82" t="s">
        <v>455</v>
      </c>
      <c r="C46" s="84"/>
      <c r="D46" s="13">
        <f>SUMIF(C$30:C45,"SUBTOTAL",D$30:D45)</f>
        <v>20968479.437533595</v>
      </c>
      <c r="E46" s="13">
        <f>SUMIF(C$30:C45,"SUBTOTAL",E$30:E45)</f>
        <v>-1488091.4083301171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2" t="s">
        <v>484</v>
      </c>
      <c r="B47" s="83"/>
      <c r="C47" s="84"/>
      <c r="D47" s="13">
        <f>SUMIF(C$2:C46,"SUBTOTAL",D$2:D46)</f>
        <v>77753175.624853373</v>
      </c>
      <c r="E47" s="13">
        <f>SUMIF(C$2:C46,"SUBTOTAL",E$2:E46)</f>
        <v>-2954449.5903607737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0" t="s">
        <v>576</v>
      </c>
      <c r="B48" s="81"/>
      <c r="C48" s="81"/>
      <c r="D48" s="32">
        <f ca="1">'TUSD BE'!$AM$53+'TUSD BE'!$AM$57+'TE BE'!$AB$43</f>
        <v>77753175.624853373</v>
      </c>
      <c r="E48" s="32">
        <f ca="1">'TUSD BF'!$AM$53+'TE BF'!$AB$43</f>
        <v>-2954449.5903607747</v>
      </c>
      <c r="F48" s="32">
        <f ca="1">'TUSD CVA'!$AM$53+'TE CVA'!$AB$43</f>
        <v>0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80" t="s">
        <v>577</v>
      </c>
      <c r="B49" s="81"/>
      <c r="C49" s="81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530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601</v>
      </c>
      <c r="P101" s="39" t="s">
        <v>606</v>
      </c>
      <c r="Q101" s="39" t="s">
        <v>607</v>
      </c>
      <c r="R101" s="39" t="s">
        <v>608</v>
      </c>
      <c r="S101" s="39" t="s">
        <v>609</v>
      </c>
      <c r="T101" s="39" t="s">
        <v>610</v>
      </c>
      <c r="U101" s="39" t="s">
        <v>611</v>
      </c>
      <c r="V101" s="39" t="s">
        <v>612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36</v>
      </c>
      <c r="Q102" s="39" t="s">
        <v>35</v>
      </c>
      <c r="R102" s="39" t="s">
        <v>44</v>
      </c>
      <c r="S102" s="39" t="s">
        <v>25</v>
      </c>
      <c r="T102" s="39" t="s">
        <v>613</v>
      </c>
      <c r="U102" s="39">
        <v>4</v>
      </c>
      <c r="V102" s="39">
        <v>0.1</v>
      </c>
      <c r="W102" s="39">
        <v>0.08</v>
      </c>
      <c r="X102" s="39">
        <v>0.06</v>
      </c>
      <c r="Y102" s="39">
        <v>0.04</v>
      </c>
      <c r="Z102" s="39">
        <v>0.02</v>
      </c>
      <c r="AA102" s="39">
        <v>0</v>
      </c>
      <c r="AB102" s="39"/>
      <c r="AC102" s="39"/>
      <c r="AD102" s="39"/>
    </row>
    <row r="103" spans="15:30" ht="12" customHeight="1" x14ac:dyDescent="0.25">
      <c r="O103" s="39" t="s">
        <v>34</v>
      </c>
      <c r="P103" s="39" t="s">
        <v>36</v>
      </c>
      <c r="Q103" s="39" t="s">
        <v>35</v>
      </c>
      <c r="R103" s="39" t="s">
        <v>49</v>
      </c>
      <c r="S103" s="39" t="s">
        <v>50</v>
      </c>
      <c r="T103" s="39" t="s">
        <v>614</v>
      </c>
      <c r="U103" s="39">
        <v>4</v>
      </c>
      <c r="V103" s="39">
        <v>0.15</v>
      </c>
      <c r="W103" s="39">
        <v>0.12</v>
      </c>
      <c r="X103" s="39">
        <v>0.09</v>
      </c>
      <c r="Y103" s="39">
        <v>0.06</v>
      </c>
      <c r="Z103" s="39">
        <v>0.03</v>
      </c>
      <c r="AA103" s="39">
        <v>0</v>
      </c>
      <c r="AB103" s="39"/>
      <c r="AC103" s="39"/>
      <c r="AD103" s="39"/>
    </row>
    <row r="104" spans="15:30" ht="12" customHeight="1" x14ac:dyDescent="0.25">
      <c r="O104" s="39" t="s">
        <v>34</v>
      </c>
      <c r="P104" s="39" t="s">
        <v>615</v>
      </c>
      <c r="Q104" s="39" t="s">
        <v>43</v>
      </c>
      <c r="R104" s="39" t="s">
        <v>44</v>
      </c>
      <c r="S104" s="39" t="s">
        <v>88</v>
      </c>
      <c r="T104" s="39" t="s">
        <v>614</v>
      </c>
      <c r="U104" s="39">
        <v>4</v>
      </c>
      <c r="V104" s="39">
        <v>0.3</v>
      </c>
      <c r="W104" s="39">
        <v>0.24</v>
      </c>
      <c r="X104" s="39">
        <v>0.18</v>
      </c>
      <c r="Y104" s="39">
        <v>0.12</v>
      </c>
      <c r="Z104" s="39">
        <v>0.06</v>
      </c>
      <c r="AA104" s="39">
        <v>0</v>
      </c>
      <c r="AB104" s="39"/>
      <c r="AC104" s="39"/>
      <c r="AD104" s="39"/>
    </row>
    <row r="105" spans="15:30" ht="12" customHeight="1" x14ac:dyDescent="0.25">
      <c r="O105" s="39" t="s">
        <v>34</v>
      </c>
      <c r="P105" s="39" t="s">
        <v>41</v>
      </c>
      <c r="Q105" s="39" t="s">
        <v>43</v>
      </c>
      <c r="R105" s="39" t="s">
        <v>44</v>
      </c>
      <c r="S105" s="39" t="s">
        <v>25</v>
      </c>
      <c r="T105" s="39" t="s">
        <v>44</v>
      </c>
      <c r="U105" s="39">
        <v>4</v>
      </c>
      <c r="V105" s="39">
        <v>0.3</v>
      </c>
      <c r="W105" s="39">
        <v>0.24</v>
      </c>
      <c r="X105" s="39">
        <v>0.18</v>
      </c>
      <c r="Y105" s="39">
        <v>0.12</v>
      </c>
      <c r="Z105" s="39">
        <v>0.06</v>
      </c>
      <c r="AA105" s="39">
        <v>0</v>
      </c>
      <c r="AB105" s="39"/>
      <c r="AC105" s="39"/>
      <c r="AD105" s="39"/>
    </row>
    <row r="106" spans="15:30" ht="12" customHeight="1" x14ac:dyDescent="0.25">
      <c r="O106" s="39" t="s">
        <v>34</v>
      </c>
      <c r="P106" s="39" t="s">
        <v>615</v>
      </c>
      <c r="Q106" s="39" t="s">
        <v>43</v>
      </c>
      <c r="R106" s="39" t="s">
        <v>44</v>
      </c>
      <c r="S106" s="39" t="s">
        <v>89</v>
      </c>
      <c r="T106" s="39" t="s">
        <v>614</v>
      </c>
      <c r="U106" s="39">
        <v>4</v>
      </c>
      <c r="V106" s="39">
        <v>0.4</v>
      </c>
      <c r="W106" s="39">
        <v>0.32</v>
      </c>
      <c r="X106" s="39">
        <v>0.24</v>
      </c>
      <c r="Y106" s="39">
        <v>0.16</v>
      </c>
      <c r="Z106" s="39">
        <v>0.08</v>
      </c>
      <c r="AA106" s="39">
        <v>0</v>
      </c>
      <c r="AB106" s="39"/>
      <c r="AC106" s="39"/>
      <c r="AD106" s="39"/>
    </row>
    <row r="107" spans="15:30" ht="12" customHeight="1" x14ac:dyDescent="0.25">
      <c r="O107" s="39" t="s">
        <v>34</v>
      </c>
      <c r="P107" s="39" t="s">
        <v>41</v>
      </c>
      <c r="Q107" s="39" t="s">
        <v>33</v>
      </c>
      <c r="R107" s="39" t="s">
        <v>49</v>
      </c>
      <c r="S107" s="39" t="s">
        <v>50</v>
      </c>
      <c r="T107" s="39" t="s">
        <v>614</v>
      </c>
      <c r="U107" s="39">
        <v>4</v>
      </c>
      <c r="V107" s="39">
        <v>0.15</v>
      </c>
      <c r="W107" s="39">
        <v>0.12</v>
      </c>
      <c r="X107" s="39">
        <v>0.09</v>
      </c>
      <c r="Y107" s="39">
        <v>0.06</v>
      </c>
      <c r="Z107" s="39">
        <v>0.03</v>
      </c>
      <c r="AA107" s="39">
        <v>0</v>
      </c>
      <c r="AB107" s="39"/>
      <c r="AC107" s="39"/>
      <c r="AD107" s="39"/>
    </row>
    <row r="108" spans="15:30" ht="12" customHeight="1" x14ac:dyDescent="0.25">
      <c r="O108" s="39" t="s">
        <v>34</v>
      </c>
      <c r="P108" s="39" t="s">
        <v>23</v>
      </c>
      <c r="Q108" s="39" t="s">
        <v>35</v>
      </c>
      <c r="R108" s="39" t="s">
        <v>44</v>
      </c>
      <c r="S108" s="39" t="s">
        <v>25</v>
      </c>
      <c r="T108" s="39" t="s">
        <v>613</v>
      </c>
      <c r="U108" s="39">
        <v>4</v>
      </c>
      <c r="V108" s="39">
        <v>0.1</v>
      </c>
      <c r="W108" s="39">
        <v>0.08</v>
      </c>
      <c r="X108" s="39">
        <v>0.06</v>
      </c>
      <c r="Y108" s="39">
        <v>0.04</v>
      </c>
      <c r="Z108" s="39">
        <v>0.02</v>
      </c>
      <c r="AA108" s="39">
        <v>0</v>
      </c>
      <c r="AB108" s="39"/>
      <c r="AC108" s="39"/>
      <c r="AD108" s="39"/>
    </row>
    <row r="109" spans="15:30" ht="12" customHeight="1" x14ac:dyDescent="0.25">
      <c r="O109" s="39" t="s">
        <v>34</v>
      </c>
      <c r="P109" s="39" t="s">
        <v>616</v>
      </c>
      <c r="Q109" s="39" t="s">
        <v>35</v>
      </c>
      <c r="R109" s="39" t="s">
        <v>49</v>
      </c>
      <c r="S109" s="39" t="s">
        <v>50</v>
      </c>
      <c r="T109" s="39" t="s">
        <v>614</v>
      </c>
      <c r="U109" s="39">
        <v>4</v>
      </c>
      <c r="V109" s="39">
        <v>0.15</v>
      </c>
      <c r="W109" s="39">
        <v>0.12</v>
      </c>
      <c r="X109" s="39">
        <v>0.09</v>
      </c>
      <c r="Y109" s="39">
        <v>0.06</v>
      </c>
      <c r="Z109" s="39">
        <v>0.03</v>
      </c>
      <c r="AA109" s="39">
        <v>0</v>
      </c>
      <c r="AB109" s="39"/>
      <c r="AC109" s="39"/>
      <c r="AD109" s="39"/>
    </row>
    <row r="110" spans="15:30" ht="12" customHeight="1" x14ac:dyDescent="0.25">
      <c r="O110" s="39" t="s">
        <v>34</v>
      </c>
      <c r="P110" s="39" t="s">
        <v>23</v>
      </c>
      <c r="Q110" s="39" t="s">
        <v>43</v>
      </c>
      <c r="R110" s="39" t="s">
        <v>44</v>
      </c>
      <c r="S110" s="39" t="s">
        <v>88</v>
      </c>
      <c r="T110" s="39" t="s">
        <v>614</v>
      </c>
      <c r="U110" s="39">
        <v>4</v>
      </c>
      <c r="V110" s="39">
        <v>0.3</v>
      </c>
      <c r="W110" s="39">
        <v>0.24</v>
      </c>
      <c r="X110" s="39">
        <v>0.18</v>
      </c>
      <c r="Y110" s="39">
        <v>0.12</v>
      </c>
      <c r="Z110" s="39">
        <v>0.06</v>
      </c>
      <c r="AA110" s="39">
        <v>0</v>
      </c>
      <c r="AB110" s="39"/>
      <c r="AC110" s="39"/>
      <c r="AD110" s="39"/>
    </row>
    <row r="111" spans="15:30" ht="12" customHeight="1" x14ac:dyDescent="0.25">
      <c r="O111" s="39" t="s">
        <v>34</v>
      </c>
      <c r="P111" s="39" t="s">
        <v>23</v>
      </c>
      <c r="Q111" s="39" t="s">
        <v>43</v>
      </c>
      <c r="R111" s="39" t="s">
        <v>44</v>
      </c>
      <c r="S111" s="39" t="s">
        <v>25</v>
      </c>
      <c r="T111" s="39" t="s">
        <v>44</v>
      </c>
      <c r="U111" s="39">
        <v>4</v>
      </c>
      <c r="V111" s="39">
        <v>0.3</v>
      </c>
      <c r="W111" s="39">
        <v>0.24</v>
      </c>
      <c r="X111" s="39">
        <v>0.18</v>
      </c>
      <c r="Y111" s="39">
        <v>0.12</v>
      </c>
      <c r="Z111" s="39">
        <v>0.06</v>
      </c>
      <c r="AA111" s="39">
        <v>0</v>
      </c>
      <c r="AB111" s="39"/>
      <c r="AC111" s="39"/>
      <c r="AD111" s="39"/>
    </row>
    <row r="112" spans="15:30" ht="12" customHeight="1" x14ac:dyDescent="0.25">
      <c r="O112" s="39" t="s">
        <v>34</v>
      </c>
      <c r="P112" s="39" t="s">
        <v>23</v>
      </c>
      <c r="Q112" s="39" t="s">
        <v>43</v>
      </c>
      <c r="R112" s="39" t="s">
        <v>44</v>
      </c>
      <c r="S112" s="39" t="s">
        <v>89</v>
      </c>
      <c r="T112" s="39" t="s">
        <v>614</v>
      </c>
      <c r="U112" s="39">
        <v>4</v>
      </c>
      <c r="V112" s="39">
        <v>0.4</v>
      </c>
      <c r="W112" s="39">
        <v>0.32</v>
      </c>
      <c r="X112" s="39">
        <v>0.24</v>
      </c>
      <c r="Y112" s="39">
        <v>0.16</v>
      </c>
      <c r="Z112" s="39">
        <v>0.08</v>
      </c>
      <c r="AA112" s="39">
        <v>0</v>
      </c>
      <c r="AB112" s="39"/>
      <c r="AC112" s="39"/>
      <c r="AD112" s="39"/>
    </row>
    <row r="113" spans="15:30" ht="12" customHeight="1" x14ac:dyDescent="0.25">
      <c r="O113" s="39" t="s">
        <v>34</v>
      </c>
      <c r="P113" s="39" t="s">
        <v>23</v>
      </c>
      <c r="Q113" s="39" t="s">
        <v>33</v>
      </c>
      <c r="R113" s="39" t="s">
        <v>49</v>
      </c>
      <c r="S113" s="39" t="s">
        <v>50</v>
      </c>
      <c r="T113" s="39" t="s">
        <v>614</v>
      </c>
      <c r="U113" s="39">
        <v>4</v>
      </c>
      <c r="V113" s="39">
        <v>0.15</v>
      </c>
      <c r="W113" s="39">
        <v>0.12</v>
      </c>
      <c r="X113" s="39">
        <v>0.09</v>
      </c>
      <c r="Y113" s="39">
        <v>0.06</v>
      </c>
      <c r="Z113" s="39">
        <v>0.03</v>
      </c>
      <c r="AA113" s="39">
        <v>0</v>
      </c>
      <c r="AB113" s="39"/>
      <c r="AC113" s="39"/>
      <c r="AD113" s="39"/>
    </row>
    <row r="114" spans="15:30" ht="12" customHeight="1" x14ac:dyDescent="0.25">
      <c r="O114" s="39" t="s">
        <v>34</v>
      </c>
      <c r="P114" s="39" t="s">
        <v>39</v>
      </c>
      <c r="Q114" s="39" t="s">
        <v>35</v>
      </c>
      <c r="R114" s="39" t="s">
        <v>44</v>
      </c>
      <c r="S114" s="39" t="s">
        <v>25</v>
      </c>
      <c r="T114" s="39" t="s">
        <v>613</v>
      </c>
      <c r="U114" s="39">
        <v>4</v>
      </c>
      <c r="V114" s="39">
        <v>0.1</v>
      </c>
      <c r="W114" s="39">
        <v>0.08</v>
      </c>
      <c r="X114" s="39">
        <v>0.06</v>
      </c>
      <c r="Y114" s="39">
        <v>0.04</v>
      </c>
      <c r="Z114" s="39">
        <v>0.02</v>
      </c>
      <c r="AA114" s="39">
        <v>0</v>
      </c>
      <c r="AB114" s="39"/>
      <c r="AC114" s="39"/>
      <c r="AD114" s="39"/>
    </row>
    <row r="115" spans="15:30" ht="12" customHeight="1" x14ac:dyDescent="0.25">
      <c r="O115" s="39" t="s">
        <v>34</v>
      </c>
      <c r="P115" s="39" t="s">
        <v>39</v>
      </c>
      <c r="Q115" s="39" t="s">
        <v>35</v>
      </c>
      <c r="R115" s="39" t="s">
        <v>49</v>
      </c>
      <c r="S115" s="39" t="s">
        <v>50</v>
      </c>
      <c r="T115" s="39" t="s">
        <v>614</v>
      </c>
      <c r="U115" s="39">
        <v>4</v>
      </c>
      <c r="V115" s="39">
        <v>0.15</v>
      </c>
      <c r="W115" s="39">
        <v>0.12</v>
      </c>
      <c r="X115" s="39">
        <v>0.09</v>
      </c>
      <c r="Y115" s="39">
        <v>0.06</v>
      </c>
      <c r="Z115" s="39">
        <v>0.03</v>
      </c>
      <c r="AA115" s="39">
        <v>0</v>
      </c>
      <c r="AB115" s="39"/>
      <c r="AC115" s="39"/>
      <c r="AD115" s="39"/>
    </row>
    <row r="116" spans="15:30" ht="12" customHeight="1" x14ac:dyDescent="0.25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25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25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D33E-424E-4123-BB88-63964A8A6F25}">
  <dimension ref="A1:AP51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548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549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/>
      <c r="U3" s="92" t="s">
        <v>456</v>
      </c>
      <c r="V3" s="92"/>
      <c r="W3" s="92"/>
      <c r="X3" s="92"/>
      <c r="Y3" s="92"/>
      <c r="Z3" s="92"/>
      <c r="AA3" s="92"/>
      <c r="AB3" s="92"/>
      <c r="AC3" s="92" t="s">
        <v>464</v>
      </c>
      <c r="AD3" s="92"/>
      <c r="AE3" s="92" t="s">
        <v>466</v>
      </c>
      <c r="AF3" s="92"/>
      <c r="AG3" s="92"/>
      <c r="AH3" s="92" t="s">
        <v>469</v>
      </c>
      <c r="AI3" s="92"/>
      <c r="AJ3" s="92"/>
      <c r="AK3" s="92"/>
      <c r="AL3" s="92"/>
      <c r="AM3" s="92" t="s">
        <v>455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455</v>
      </c>
      <c r="U4" s="10" t="s">
        <v>457</v>
      </c>
      <c r="V4" s="10" t="s">
        <v>458</v>
      </c>
      <c r="W4" s="10" t="s">
        <v>459</v>
      </c>
      <c r="X4" s="10" t="s">
        <v>460</v>
      </c>
      <c r="Y4" s="10" t="s">
        <v>461</v>
      </c>
      <c r="Z4" s="10" t="s">
        <v>462</v>
      </c>
      <c r="AA4" s="10" t="s">
        <v>463</v>
      </c>
      <c r="AB4" s="10" t="s">
        <v>455</v>
      </c>
      <c r="AC4" s="10" t="s">
        <v>465</v>
      </c>
      <c r="AD4" s="10" t="s">
        <v>455</v>
      </c>
      <c r="AE4" s="10" t="s">
        <v>467</v>
      </c>
      <c r="AF4" s="10" t="s">
        <v>468</v>
      </c>
      <c r="AG4" s="10" t="s">
        <v>455</v>
      </c>
      <c r="AH4" s="10" t="s">
        <v>470</v>
      </c>
      <c r="AI4" s="10" t="s">
        <v>471</v>
      </c>
      <c r="AJ4" s="10" t="s">
        <v>472</v>
      </c>
      <c r="AK4" s="10" t="s">
        <v>473</v>
      </c>
      <c r="AL4" s="10" t="s">
        <v>455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6.8099999999999994E-2</v>
      </c>
      <c r="Z5" s="13">
        <v>0</v>
      </c>
      <c r="AA5" s="13">
        <v>0</v>
      </c>
      <c r="AB5" s="13"/>
      <c r="AC5" s="13">
        <v>23.964099999999998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3.9199999999999999E-2</v>
      </c>
      <c r="Z6" s="13">
        <v>0</v>
      </c>
      <c r="AA6" s="13">
        <v>0</v>
      </c>
      <c r="AB6" s="13"/>
      <c r="AC6" s="13">
        <v>6.5589000000000004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3.6606999999999998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3.9199999999999999E-2</v>
      </c>
      <c r="Z10" s="13">
        <v>0</v>
      </c>
      <c r="AA10" s="13">
        <v>0</v>
      </c>
      <c r="AB10" s="13"/>
      <c r="AC10" s="13">
        <v>6.5589000000000004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1.6387</v>
      </c>
      <c r="Z11" s="13">
        <v>0</v>
      </c>
      <c r="AA11" s="13">
        <v>0</v>
      </c>
      <c r="AB11" s="13"/>
      <c r="AC11" s="13">
        <v>576.33619999999996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1.6387</v>
      </c>
      <c r="Z13" s="13">
        <v>0</v>
      </c>
      <c r="AA13" s="13">
        <v>0</v>
      </c>
      <c r="AB13" s="13"/>
      <c r="AC13" s="13">
        <v>576.33619999999996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2.1027999999999998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6.2590000000000003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0.63619999999999999</v>
      </c>
      <c r="Z17" s="13">
        <v>0</v>
      </c>
      <c r="AA17" s="13">
        <v>0</v>
      </c>
      <c r="AB17" s="13"/>
      <c r="AC17" s="13">
        <v>317.9153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0.38179999999999997</v>
      </c>
      <c r="Z18" s="13">
        <v>0</v>
      </c>
      <c r="AA18" s="13">
        <v>0</v>
      </c>
      <c r="AB18" s="13"/>
      <c r="AC18" s="13">
        <v>190.7492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0.1273</v>
      </c>
      <c r="Z19" s="13">
        <v>0</v>
      </c>
      <c r="AA19" s="13">
        <v>0</v>
      </c>
      <c r="AB19" s="13"/>
      <c r="AC19" s="13">
        <v>63.582999999999998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0.23569999999999999</v>
      </c>
      <c r="Z20" s="13">
        <v>0</v>
      </c>
      <c r="AA20" s="13">
        <v>0</v>
      </c>
      <c r="AB20" s="13"/>
      <c r="AC20" s="13">
        <v>117.74639999999999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CUSTOS!$M$24)*0.2357</f>
        <v>0.23569999999999999</v>
      </c>
      <c r="Z21" s="13">
        <v>0</v>
      </c>
      <c r="AA21" s="13">
        <v>0</v>
      </c>
      <c r="AB21" s="13"/>
      <c r="AC21" s="13">
        <f>(1 - CUSTOS!$M$24)*117.7464</f>
        <v>117.74639999999999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CUSTOS!$M$25)*0.2357</f>
        <v>0.23569999999999999</v>
      </c>
      <c r="Z22" s="13">
        <v>0</v>
      </c>
      <c r="AA22" s="13">
        <v>0</v>
      </c>
      <c r="AB22" s="13"/>
      <c r="AC22" s="13">
        <f>(1 - CUSTOS!$M$25)*117.7464</f>
        <v>117.74639999999999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CUSTOS!$M$26)*0.2357</f>
        <v>0.23569999999999999</v>
      </c>
      <c r="Z23" s="13">
        <v>0</v>
      </c>
      <c r="AA23" s="13">
        <v>0</v>
      </c>
      <c r="AB23" s="13"/>
      <c r="AC23" s="13">
        <f>(1 - CUSTOS!$M$26)*117.7464</f>
        <v>117.74639999999999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CUSTOS!$M$27)*0.2357</f>
        <v>0.23569999999999999</v>
      </c>
      <c r="Z24" s="13">
        <v>0</v>
      </c>
      <c r="AA24" s="13">
        <v>0</v>
      </c>
      <c r="AB24" s="13"/>
      <c r="AC24" s="13">
        <f>(1 - CUSTOS!$M$27)*117.7464</f>
        <v>117.74639999999999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0.23569999999999999</v>
      </c>
      <c r="Z25" s="13">
        <v>0</v>
      </c>
      <c r="AA25" s="13">
        <v>0</v>
      </c>
      <c r="AB25" s="13"/>
      <c r="AC25" s="13">
        <v>117.74639999999999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CUSTOS!$M$24)*0.2357</f>
        <v>0.23569999999999999</v>
      </c>
      <c r="Z26" s="13">
        <v>0</v>
      </c>
      <c r="AA26" s="13">
        <v>0</v>
      </c>
      <c r="AB26" s="13"/>
      <c r="AC26" s="13">
        <f>(1 - CUSTOS!$M$24)*117.7464</f>
        <v>117.74639999999999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CUSTOS!$M$25)*0.2357</f>
        <v>0.23569999999999999</v>
      </c>
      <c r="Z27" s="13">
        <v>0</v>
      </c>
      <c r="AA27" s="13">
        <v>0</v>
      </c>
      <c r="AB27" s="13"/>
      <c r="AC27" s="13">
        <f>(1 - CUSTOS!$M$25)*117.7464</f>
        <v>117.74639999999999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CUSTOS!$M$26)*0.2357</f>
        <v>0.23569999999999999</v>
      </c>
      <c r="Z28" s="13">
        <v>0</v>
      </c>
      <c r="AA28" s="13">
        <v>0</v>
      </c>
      <c r="AB28" s="13"/>
      <c r="AC28" s="13">
        <f>(1 - CUSTOS!$M$26)*117.7464</f>
        <v>117.74639999999999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CUSTOS!$M$27)*0.2357</f>
        <v>0.23569999999999999</v>
      </c>
      <c r="Z29" s="13">
        <v>0</v>
      </c>
      <c r="AA29" s="13">
        <v>0</v>
      </c>
      <c r="AB29" s="13"/>
      <c r="AC29" s="13">
        <f>(1 - CUSTOS!$M$27)*117.7464</f>
        <v>117.74639999999999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CUSTOS!$M$28)*0.6952</f>
        <v>0.69520000000000004</v>
      </c>
      <c r="Z30" s="13">
        <v>0</v>
      </c>
      <c r="AA30" s="13">
        <v>0</v>
      </c>
      <c r="AB30" s="13"/>
      <c r="AC30" s="13">
        <f>(1 - CUSTOS!$M$28)*347.3519</f>
        <v>347.3519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CUSTOS!$M$28)*0.417</f>
        <v>0.41699999999999998</v>
      </c>
      <c r="Z31" s="13">
        <v>0</v>
      </c>
      <c r="AA31" s="13">
        <v>0</v>
      </c>
      <c r="AB31" s="13"/>
      <c r="AC31" s="13">
        <f>(1 - CUSTOS!$M$28)*208.4112</f>
        <v>208.41120000000001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CUSTOS!$M$28)*0.1391</f>
        <v>0.1391</v>
      </c>
      <c r="Z32" s="13">
        <v>0</v>
      </c>
      <c r="AA32" s="13">
        <v>0</v>
      </c>
      <c r="AB32" s="13"/>
      <c r="AC32" s="13">
        <f>(1 - CUSTOS!$M$28)*69.4704</f>
        <v>69.470399999999998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CUSTOS!$M$28)*0.2357</f>
        <v>0.23569999999999999</v>
      </c>
      <c r="Z33" s="13">
        <v>0</v>
      </c>
      <c r="AA33" s="13">
        <v>0</v>
      </c>
      <c r="AB33" s="13"/>
      <c r="AC33" s="13">
        <f>(1 - CUSTOS!$M$28)*117.7464</f>
        <v>117.74639999999999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CUSTOS!$M$29)*0.6952</f>
        <v>0.69520000000000004</v>
      </c>
      <c r="Z34" s="13">
        <v>0</v>
      </c>
      <c r="AA34" s="13">
        <v>0</v>
      </c>
      <c r="AB34" s="13"/>
      <c r="AC34" s="13">
        <f>(1 - CUSTOS!$M$29)*347.3519</f>
        <v>347.3519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CUSTOS!$M$29)*0.417</f>
        <v>0.41699999999999998</v>
      </c>
      <c r="Z35" s="13">
        <v>0</v>
      </c>
      <c r="AA35" s="13">
        <v>0</v>
      </c>
      <c r="AB35" s="13"/>
      <c r="AC35" s="13">
        <f>(1 - CUSTOS!$M$29)*208.4112</f>
        <v>208.41120000000001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CUSTOS!$M$29)*0.1391</f>
        <v>0.1391</v>
      </c>
      <c r="Z36" s="13">
        <v>0</v>
      </c>
      <c r="AA36" s="13">
        <v>0</v>
      </c>
      <c r="AB36" s="13"/>
      <c r="AC36" s="13">
        <f>(1 - CUSTOS!$M$29)*69.4704</f>
        <v>69.470399999999998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CUSTOS!$M$29)*0.2357</f>
        <v>0.23569999999999999</v>
      </c>
      <c r="Z37" s="13">
        <v>0</v>
      </c>
      <c r="AA37" s="13">
        <v>0</v>
      </c>
      <c r="AB37" s="13"/>
      <c r="AC37" s="13">
        <f>(1 - CUSTOS!$M$29)*117.7464</f>
        <v>117.74639999999999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CUSTOS!$M$30)*0.6952</f>
        <v>0.69520000000000004</v>
      </c>
      <c r="Z38" s="13">
        <v>0</v>
      </c>
      <c r="AA38" s="13">
        <v>0</v>
      </c>
      <c r="AB38" s="13"/>
      <c r="AC38" s="13">
        <f>(1 - CUSTOS!$M$30)*347.3519</f>
        <v>347.3519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CUSTOS!$M$30)*0.417</f>
        <v>0.41699999999999998</v>
      </c>
      <c r="Z39" s="13">
        <v>0</v>
      </c>
      <c r="AA39" s="13">
        <v>0</v>
      </c>
      <c r="AB39" s="13"/>
      <c r="AC39" s="13">
        <f>(1 - CUSTOS!$M$30)*208.4112</f>
        <v>208.41120000000001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CUSTOS!$M$30)*0.1391</f>
        <v>0.1391</v>
      </c>
      <c r="Z40" s="13">
        <v>0</v>
      </c>
      <c r="AA40" s="13">
        <v>0</v>
      </c>
      <c r="AB40" s="13"/>
      <c r="AC40" s="13">
        <f>(1 - CUSTOS!$M$30)*69.4704</f>
        <v>69.470399999999998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CUSTOS!$M$30)*0.2357</f>
        <v>0.23569999999999999</v>
      </c>
      <c r="Z41" s="13">
        <v>0</v>
      </c>
      <c r="AA41" s="13">
        <v>0</v>
      </c>
      <c r="AB41" s="13"/>
      <c r="AC41" s="13">
        <f>(1 - CUSTOS!$M$30)*117.7464</f>
        <v>117.74639999999999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CUSTOS!$M$28)*0.2357</f>
        <v>0.23569999999999999</v>
      </c>
      <c r="Z42" s="13">
        <v>0</v>
      </c>
      <c r="AA42" s="13">
        <v>0</v>
      </c>
      <c r="AB42" s="13"/>
      <c r="AC42" s="13">
        <f>(1 - CUSTOS!$M$28)*117.7464</f>
        <v>117.74639999999999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CUSTOS!$M$29)*0.2357</f>
        <v>0.23569999999999999</v>
      </c>
      <c r="Z43" s="13">
        <v>0</v>
      </c>
      <c r="AA43" s="13">
        <v>0</v>
      </c>
      <c r="AB43" s="13"/>
      <c r="AC43" s="13">
        <f>(1 - CUSTOS!$M$29)*117.7464</f>
        <v>117.74639999999999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CUSTOS!$M$30)*0.2357</f>
        <v>0.23569999999999999</v>
      </c>
      <c r="Z44" s="13">
        <v>0</v>
      </c>
      <c r="AA44" s="13">
        <v>0</v>
      </c>
      <c r="AB44" s="13"/>
      <c r="AC44" s="13">
        <f>(1 - CUSTOS!$M$30)*117.7464</f>
        <v>117.74639999999999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CUSTOS!$M$31)*0.8012</f>
        <v>0.80120000000000002</v>
      </c>
      <c r="Z45" s="13">
        <v>0</v>
      </c>
      <c r="AA45" s="13">
        <v>0</v>
      </c>
      <c r="AB45" s="13"/>
      <c r="AC45" s="13">
        <f>(1 - CUSTOS!$M$31)*400.3378</f>
        <v>400.33780000000002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CUSTOS!$M$31)*0.4807</f>
        <v>0.48070000000000002</v>
      </c>
      <c r="Z46" s="13">
        <v>0</v>
      </c>
      <c r="AA46" s="13">
        <v>0</v>
      </c>
      <c r="AB46" s="13"/>
      <c r="AC46" s="13">
        <f>(1 - CUSTOS!$M$31)*240.2027</f>
        <v>240.20269999999999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CUSTOS!$M$31)*0.1603</f>
        <v>0.1603</v>
      </c>
      <c r="Z47" s="13">
        <v>0</v>
      </c>
      <c r="AA47" s="13">
        <v>0</v>
      </c>
      <c r="AB47" s="13"/>
      <c r="AC47" s="13">
        <f>(1 - CUSTOS!$M$31)*80.0676</f>
        <v>80.067599999999999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CUSTOS!$M$31)*0.2357</f>
        <v>0.23569999999999999</v>
      </c>
      <c r="Z48" s="13">
        <v>0</v>
      </c>
      <c r="AA48" s="13">
        <v>0</v>
      </c>
      <c r="AB48" s="13"/>
      <c r="AC48" s="13">
        <f>(1 - CUSTOS!$M$31)*117.7464</f>
        <v>117.74639999999999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CUSTOS!$M$31)*0.2357</f>
        <v>0.23569999999999999</v>
      </c>
      <c r="Z49" s="13">
        <v>0</v>
      </c>
      <c r="AA49" s="13">
        <v>0</v>
      </c>
      <c r="AB49" s="13"/>
      <c r="AC49" s="13">
        <f>(1 - CUSTOS!$M$31)*117.7464</f>
        <v>117.74639999999999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CUSTOS!$M$32)*0.2357</f>
        <v>0.129635</v>
      </c>
      <c r="Z50" s="13">
        <v>0</v>
      </c>
      <c r="AA50" s="13">
        <v>0</v>
      </c>
      <c r="AB50" s="13"/>
      <c r="AC50" s="13">
        <f>(1 - CUSTOS!$M$32)*117.7464</f>
        <v>64.76052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CUSTOS!$M$33)*0.2357</f>
        <v>0.14141999999999999</v>
      </c>
      <c r="Z51" s="13">
        <v>0</v>
      </c>
      <c r="AA51" s="13">
        <v>0</v>
      </c>
      <c r="AB51" s="13"/>
      <c r="AC51" s="13">
        <f>(1 - CUSTOS!$M$33)*117.7464</f>
        <v>70.647839999999988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0699-1FB4-40A3-9EB6-CC0752E32C90}">
  <dimension ref="A1:AP70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548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549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/>
      <c r="U3" s="92" t="s">
        <v>456</v>
      </c>
      <c r="V3" s="92"/>
      <c r="W3" s="92"/>
      <c r="X3" s="92"/>
      <c r="Y3" s="92"/>
      <c r="Z3" s="92"/>
      <c r="AA3" s="92"/>
      <c r="AB3" s="92"/>
      <c r="AC3" s="92" t="s">
        <v>464</v>
      </c>
      <c r="AD3" s="92"/>
      <c r="AE3" s="92" t="s">
        <v>466</v>
      </c>
      <c r="AF3" s="92"/>
      <c r="AG3" s="92"/>
      <c r="AH3" s="92" t="s">
        <v>469</v>
      </c>
      <c r="AI3" s="92"/>
      <c r="AJ3" s="92"/>
      <c r="AK3" s="92"/>
      <c r="AL3" s="92"/>
      <c r="AM3" s="92" t="s">
        <v>455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455</v>
      </c>
      <c r="U4" s="10" t="s">
        <v>457</v>
      </c>
      <c r="V4" s="10" t="s">
        <v>458</v>
      </c>
      <c r="W4" s="10" t="s">
        <v>459</v>
      </c>
      <c r="X4" s="10" t="s">
        <v>460</v>
      </c>
      <c r="Y4" s="10" t="s">
        <v>461</v>
      </c>
      <c r="Z4" s="10" t="s">
        <v>462</v>
      </c>
      <c r="AA4" s="10" t="s">
        <v>463</v>
      </c>
      <c r="AB4" s="10" t="s">
        <v>455</v>
      </c>
      <c r="AC4" s="10" t="s">
        <v>465</v>
      </c>
      <c r="AD4" s="10" t="s">
        <v>455</v>
      </c>
      <c r="AE4" s="10" t="s">
        <v>467</v>
      </c>
      <c r="AF4" s="10" t="s">
        <v>468</v>
      </c>
      <c r="AG4" s="10" t="s">
        <v>455</v>
      </c>
      <c r="AH4" s="10" t="s">
        <v>470</v>
      </c>
      <c r="AI4" s="10" t="s">
        <v>471</v>
      </c>
      <c r="AJ4" s="10" t="s">
        <v>472</v>
      </c>
      <c r="AK4" s="10" t="s">
        <v>473</v>
      </c>
      <c r="AL4" s="10" t="s">
        <v>455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6.8099999999999994E-2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23.964099999999998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3.9199999999999999E-2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6.5589000000000004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7" s="13">
        <f ca="1">(+M7+O7+R7+U7+V7+W7+X7+Y7+Z7+AA7+AC7+AH7+AI7+AJ7+AK7)*CUSTOS!$M$5</f>
        <v>2.8224733715518449E-13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12.8766</v>
      </c>
      <c r="AI7" s="13">
        <v>12.8766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8" s="13">
        <f ca="1">(+M8+O8+R8+U8+V8+W8+X8+Y8+Z8+AA8+AC8+AH8+AI8+AJ8+AK8)*CUSTOS!$M$5</f>
        <v>2.7224733715518448E-13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12.8766</v>
      </c>
      <c r="AI8" s="13">
        <v>12.8766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v>0</v>
      </c>
      <c r="M9" s="13">
        <v>1.17E-2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3.6606999999999998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3.9199999999999999E-2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6.5589000000000004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11" s="13">
        <f ca="1">(+M11+O11+R11+U11+V11+W11+X11+Y11+Z11+AA11+AC11+AH11+AI11+AJ11+AK11)*CUSTOS!$M$5</f>
        <v>6.061996337155185E-12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1.6387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576.33619999999996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12.8766</v>
      </c>
      <c r="AI11" s="13">
        <v>12.8766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12" s="13">
        <f ca="1">(+M12+O12+R12+U12+V12+W12+X12+Y12+Z12+AA12+AC12+AH12+AI12+AJ12+AK12)*CUSTOS!$M$5</f>
        <v>2.8224733715518449E-13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12.8766</v>
      </c>
      <c r="AI12" s="13">
        <v>12.8766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13" s="13">
        <f ca="1">(+M13+O13+R13+U13+V13+W13+X13+Y13+Z13+AA13+AC13+AH13+AI13+AJ13+AK13)*CUSTOS!$M$5</f>
        <v>6.0519963371551856E-12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1.6387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576.33619999999996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12.8766</v>
      </c>
      <c r="AI13" s="13">
        <v>12.8766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0.47153371551845097</v>
      </c>
      <c r="N14" s="13">
        <f ca="1">(+M14+O14+R14+U14+V14+W14+X14+Y14+Z14+AA14+AC14+AH14+AI14+AJ14+AK14)*CUSTOS!$M$5</f>
        <v>2.7224733715518448E-13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12.8766</v>
      </c>
      <c r="AI14" s="13">
        <v>12.8766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v>0</v>
      </c>
      <c r="M15" s="13">
        <v>6.7000000000000002E-3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2.1027999999999998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v>0</v>
      </c>
      <c r="M16" s="13">
        <v>6.7000000000000002E-3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6.2590000000000003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1.6719662289963972</v>
      </c>
      <c r="N17" s="13">
        <f ca="1">(+M17+O17+R17+U17+V17+W17+X17+Y17+Z17+AA17+AC17+AH17+AI17+AJ17+AK17)*CUSTOS!$M$5</f>
        <v>3.7362806622899635E-12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0.63619999999999999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317.9153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25.702300000000001</v>
      </c>
      <c r="AI17" s="13">
        <v>25.702300000000001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1.6719662289963972</v>
      </c>
      <c r="N18" s="13">
        <f ca="1">(+M18+O18+R18+U18+V18+W18+X18+Y18+Z18+AA18+AC18+AH18+AI18+AJ18+AK18)*CUSTOS!$M$5</f>
        <v>2.4620756622899642E-12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0.38179999999999997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190.7492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25.702300000000001</v>
      </c>
      <c r="AI18" s="13">
        <v>25.702300000000001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1.6719662289963972</v>
      </c>
      <c r="N19" s="13">
        <f ca="1">(+M19+O19+R19+U19+V19+W19+X19+Y19+Z19+AA19+AC19+AH19+AI19+AJ19+AK19)*CUSTOS!$M$5</f>
        <v>1.1878686622899641E-12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0.1273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63.582999999999998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25.702300000000001</v>
      </c>
      <c r="AI19" s="13">
        <v>25.702300000000001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1.6719662289963972</v>
      </c>
      <c r="N20" s="13">
        <f ca="1">(+M20+O20+R20+U20+V20+W20+X20+Y20+Z20+AA20+AC20+AH20+AI20+AJ20+AK20)*CUSTOS!$M$5</f>
        <v>1.7305866622899641E-12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0.23569999999999999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117.74639999999999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25.702300000000001</v>
      </c>
      <c r="AI20" s="13">
        <v>25.702300000000001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1.6719662289963972</v>
      </c>
      <c r="N21" s="13">
        <f ca="1">(+M21+O21+R21+U21+V21+W21+X21+Y21+Z21+AA21+AC21+AH21+AI21+AJ21+AK21)*CUSTOS!$M$5</f>
        <v>1.7205866622899639E-12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0.23569999999999999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117.74639999999999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CUSTOS!$M$24)*25.7023</f>
        <v>25.702300000000001</v>
      </c>
      <c r="AI21" s="13">
        <f>(1 - CUSTOS!$M$24)*25.7023</f>
        <v>25.702300000000001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1.6719662289963972</v>
      </c>
      <c r="N22" s="13">
        <f ca="1">(+M22+O22+R22+U22+V22+W22+X22+Y22+Z22+AA22+AC22+AH22+AI22+AJ22+AK22)*CUSTOS!$M$5</f>
        <v>1.7205866622899639E-12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0.23569999999999999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117.74639999999999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CUSTOS!$M$25)*25.7023</f>
        <v>25.702300000000001</v>
      </c>
      <c r="AI22" s="13">
        <f>(1 - CUSTOS!$M$25)*25.7023</f>
        <v>25.702300000000001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1.6719662289963972</v>
      </c>
      <c r="N23" s="13">
        <f ca="1">(+M23+O23+R23+U23+V23+W23+X23+Y23+Z23+AA23+AC23+AH23+AI23+AJ23+AK23)*CUSTOS!$M$5</f>
        <v>1.7205866622899639E-12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0.23569999999999999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117.74639999999999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CUSTOS!$M$26)*25.7023</f>
        <v>25.702300000000001</v>
      </c>
      <c r="AI23" s="13">
        <f>(1 - CUSTOS!$M$26)*25.7023</f>
        <v>25.702300000000001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1.6719662289963972</v>
      </c>
      <c r="N24" s="13">
        <f ca="1">(+M24+O24+R24+U24+V24+W24+X24+Y24+Z24+AA24+AC24+AH24+AI24+AJ24+AK24)*CUSTOS!$M$5</f>
        <v>1.7205866622899639E-12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0.23569999999999999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117.74639999999999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CUSTOS!$M$27)*25.7023</f>
        <v>25.702300000000001</v>
      </c>
      <c r="AI24" s="13">
        <f>(1 - CUSTOS!$M$27)*25.7023</f>
        <v>25.702300000000001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1.6719662289963972</v>
      </c>
      <c r="N25" s="13">
        <f ca="1">(+M25+O25+R25+U25+V25+W25+X25+Y25+Z25+AA25+AC25+AH25+AI25+AJ25+AK25)*CUSTOS!$M$5</f>
        <v>1.7305866622899641E-12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0.23569999999999999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117.74639999999999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25.702300000000001</v>
      </c>
      <c r="AI25" s="13">
        <v>25.702300000000001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1.6719662289963972</v>
      </c>
      <c r="N26" s="13">
        <f ca="1">(+M26+O26+R26+U26+V26+W26+X26+Y26+Z26+AA26+AC26+AH26+AI26+AJ26+AK26)*CUSTOS!$M$5</f>
        <v>1.7205866622899639E-12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0.23569999999999999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117.74639999999999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CUSTOS!$M$24)*25.7023</f>
        <v>25.702300000000001</v>
      </c>
      <c r="AI26" s="13">
        <f>(1 - CUSTOS!$M$24)*25.7023</f>
        <v>25.702300000000001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1.6719662289963972</v>
      </c>
      <c r="N27" s="13">
        <f ca="1">(+M27+O27+R27+U27+V27+W27+X27+Y27+Z27+AA27+AC27+AH27+AI27+AJ27+AK27)*CUSTOS!$M$5</f>
        <v>1.7205866622899639E-12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0.23569999999999999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117.74639999999999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CUSTOS!$M$25)*25.7023</f>
        <v>25.702300000000001</v>
      </c>
      <c r="AI27" s="13">
        <f>(1 - CUSTOS!$M$25)*25.7023</f>
        <v>25.702300000000001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1.6719662289963972</v>
      </c>
      <c r="N28" s="13">
        <f ca="1">(+M28+O28+R28+U28+V28+W28+X28+Y28+Z28+AA28+AC28+AH28+AI28+AJ28+AK28)*CUSTOS!$M$5</f>
        <v>1.7205866622899639E-12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0.23569999999999999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117.74639999999999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CUSTOS!$M$26)*25.7023</f>
        <v>25.702300000000001</v>
      </c>
      <c r="AI28" s="13">
        <f>(1 - CUSTOS!$M$26)*25.7023</f>
        <v>25.702300000000001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1.6719662289963972</v>
      </c>
      <c r="N29" s="13">
        <f ca="1">(+M29+O29+R29+U29+V29+W29+X29+Y29+Z29+AA29+AC29+AH29+AI29+AJ29+AK29)*CUSTOS!$M$5</f>
        <v>1.7205866622899639E-12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0.23569999999999999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117.74639999999999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CUSTOS!$M$27)*25.7023</f>
        <v>25.702300000000001</v>
      </c>
      <c r="AI29" s="13">
        <f>(1 - CUSTOS!$M$27)*25.7023</f>
        <v>25.702300000000001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1.6719662289963972</v>
      </c>
      <c r="N30" s="13">
        <f ca="1">(+M30+O30+R30+U30+V30+W30+X30+Y30+Z30+AA30+AC30+AH30+AI30+AJ30+AK30)*CUSTOS!$M$5</f>
        <v>4.0312366622899638E-12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0.69520000000000004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347.3519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CUSTOS!$M$28)*25.7023</f>
        <v>25.702300000000001</v>
      </c>
      <c r="AI30" s="13">
        <f>(1 - CUSTOS!$M$28)*25.7023</f>
        <v>25.702300000000001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1.6719662289963972</v>
      </c>
      <c r="N31" s="13">
        <f ca="1">(+M31+O31+R31+U31+V31+W31+X31+Y31+Z31+AA31+AC31+AH31+AI31+AJ31+AK31)*CUSTOS!$M$5</f>
        <v>2.639047662289964E-12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0.41699999999999998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208.41120000000001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CUSTOS!$M$28)*25.7023</f>
        <v>25.702300000000001</v>
      </c>
      <c r="AI31" s="13">
        <f>(1 - CUSTOS!$M$28)*25.7023</f>
        <v>25.702300000000001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1.6719662289963972</v>
      </c>
      <c r="N32" s="13">
        <f ca="1">(+M32+O32+R32+U32+V32+W32+X32+Y32+Z32+AA32+AC32+AH32+AI32+AJ32+AK32)*CUSTOS!$M$5</f>
        <v>1.246860662289964E-12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0.1391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69.470399999999998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CUSTOS!$M$28)*25.7023</f>
        <v>25.702300000000001</v>
      </c>
      <c r="AI32" s="13">
        <f>(1 - CUSTOS!$M$28)*25.7023</f>
        <v>25.702300000000001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1.6719662289963972</v>
      </c>
      <c r="N33" s="13">
        <f ca="1">(+M33+O33+R33+U33+V33+W33+X33+Y33+Z33+AA33+AC33+AH33+AI33+AJ33+AK33)*CUSTOS!$M$5</f>
        <v>1.7305866622899641E-12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0.23569999999999999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117.74639999999999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CUSTOS!$M$28)*25.7023</f>
        <v>25.702300000000001</v>
      </c>
      <c r="AI33" s="13">
        <f>(1 - CUSTOS!$M$28)*25.7023</f>
        <v>25.702300000000001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1.6719662289963972</v>
      </c>
      <c r="N34" s="13">
        <f ca="1">(+M34+O34+R34+U34+V34+W34+X34+Y34+Z34+AA34+AC34+AH34+AI34+AJ34+AK34)*CUSTOS!$M$5</f>
        <v>4.0312366622899638E-12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0.69520000000000004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347.3519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CUSTOS!$M$29)*25.7023</f>
        <v>25.702300000000001</v>
      </c>
      <c r="AI34" s="13">
        <f>(1 - CUSTOS!$M$29)*25.7023</f>
        <v>25.702300000000001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1.6719662289963972</v>
      </c>
      <c r="N35" s="13">
        <f ca="1">(+M35+O35+R35+U35+V35+W35+X35+Y35+Z35+AA35+AC35+AH35+AI35+AJ35+AK35)*CUSTOS!$M$5</f>
        <v>2.639047662289964E-12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0.41699999999999998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208.41120000000001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CUSTOS!$M$29)*25.7023</f>
        <v>25.702300000000001</v>
      </c>
      <c r="AI35" s="13">
        <f>(1 - CUSTOS!$M$29)*25.7023</f>
        <v>25.702300000000001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1.6719662289963972</v>
      </c>
      <c r="N36" s="13">
        <f ca="1">(+M36+O36+R36+U36+V36+W36+X36+Y36+Z36+AA36+AC36+AH36+AI36+AJ36+AK36)*CUSTOS!$M$5</f>
        <v>1.246860662289964E-12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0.1391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69.470399999999998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CUSTOS!$M$29)*25.7023</f>
        <v>25.702300000000001</v>
      </c>
      <c r="AI36" s="13">
        <f>(1 - CUSTOS!$M$29)*25.7023</f>
        <v>25.702300000000001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1.6719662289963972</v>
      </c>
      <c r="N37" s="13">
        <f ca="1">(+M37+O37+R37+U37+V37+W37+X37+Y37+Z37+AA37+AC37+AH37+AI37+AJ37+AK37)*CUSTOS!$M$5</f>
        <v>1.7305866622899641E-12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0.23569999999999999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117.74639999999999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CUSTOS!$M$29)*25.7023</f>
        <v>25.702300000000001</v>
      </c>
      <c r="AI37" s="13">
        <f>(1 - CUSTOS!$M$29)*25.7023</f>
        <v>25.702300000000001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1.6719662289963972</v>
      </c>
      <c r="N38" s="13">
        <f ca="1">(+M38+O38+R38+U38+V38+W38+X38+Y38+Z38+AA38+AC38+AH38+AI38+AJ38+AK38)*CUSTOS!$M$5</f>
        <v>4.0312366622899638E-12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0.69520000000000004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347.3519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CUSTOS!$M$30)*25.7023</f>
        <v>25.702300000000001</v>
      </c>
      <c r="AI38" s="13">
        <f>(1 - CUSTOS!$M$30)*25.7023</f>
        <v>25.702300000000001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1.6719662289963972</v>
      </c>
      <c r="N39" s="13">
        <f ca="1">(+M39+O39+R39+U39+V39+W39+X39+Y39+Z39+AA39+AC39+AH39+AI39+AJ39+AK39)*CUSTOS!$M$5</f>
        <v>2.639047662289964E-12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0.41699999999999998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208.41120000000001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CUSTOS!$M$30)*25.7023</f>
        <v>25.702300000000001</v>
      </c>
      <c r="AI39" s="13">
        <f>(1 - CUSTOS!$M$30)*25.7023</f>
        <v>25.702300000000001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1.6719662289963972</v>
      </c>
      <c r="N40" s="13">
        <f ca="1">(+M40+O40+R40+U40+V40+W40+X40+Y40+Z40+AA40+AC40+AH40+AI40+AJ40+AK40)*CUSTOS!$M$5</f>
        <v>1.246860662289964E-12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0.1391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69.470399999999998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CUSTOS!$M$30)*25.7023</f>
        <v>25.702300000000001</v>
      </c>
      <c r="AI40" s="13">
        <f>(1 - CUSTOS!$M$30)*25.7023</f>
        <v>25.702300000000001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1.6719662289963972</v>
      </c>
      <c r="N41" s="13">
        <f ca="1">(+M41+O41+R41+U41+V41+W41+X41+Y41+Z41+AA41+AC41+AH41+AI41+AJ41+AK41)*CUSTOS!$M$5</f>
        <v>1.7305866622899641E-12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0.23569999999999999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117.74639999999999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CUSTOS!$M$30)*25.7023</f>
        <v>25.702300000000001</v>
      </c>
      <c r="AI41" s="13">
        <f>(1 - CUSTOS!$M$30)*25.7023</f>
        <v>25.702300000000001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1.6719662289963972</v>
      </c>
      <c r="N42" s="13">
        <f ca="1">(+M42+O42+R42+U42+V42+W42+X42+Y42+Z42+AA42+AC42+AH42+AI42+AJ42+AK42)*CUSTOS!$M$5</f>
        <v>1.7305866622899641E-12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0.23569999999999999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117.74639999999999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CUSTOS!$M$28)*25.7023</f>
        <v>25.702300000000001</v>
      </c>
      <c r="AI42" s="13">
        <f>(1 - CUSTOS!$M$28)*25.7023</f>
        <v>25.702300000000001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1.6719662289963972</v>
      </c>
      <c r="N43" s="13">
        <f ca="1">(+M43+O43+R43+U43+V43+W43+X43+Y43+Z43+AA43+AC43+AH43+AI43+AJ43+AK43)*CUSTOS!$M$5</f>
        <v>1.7305866622899641E-12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0.23569999999999999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117.74639999999999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CUSTOS!$M$29)*25.7023</f>
        <v>25.702300000000001</v>
      </c>
      <c r="AI43" s="13">
        <f>(1 - CUSTOS!$M$29)*25.7023</f>
        <v>25.702300000000001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1.6719662289963972</v>
      </c>
      <c r="N44" s="13">
        <f ca="1">(+M44+O44+R44+U44+V44+W44+X44+Y44+Z44+AA44+AC44+AH44+AI44+AJ44+AK44)*CUSTOS!$M$5</f>
        <v>1.7305866622899641E-12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0.23569999999999999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117.74639999999999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CUSTOS!$M$30)*25.7023</f>
        <v>25.702300000000001</v>
      </c>
      <c r="AI44" s="13">
        <f>(1 - CUSTOS!$M$30)*25.7023</f>
        <v>25.702300000000001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1.6719662289963972</v>
      </c>
      <c r="N45" s="13">
        <f ca="1">(+M45+O45+R45+U45+V45+W45+X45+Y45+Z45+AA45+AC45+AH45+AI45+AJ45+AK45)*CUSTOS!$M$5</f>
        <v>4.5621556622899631E-12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0.80120000000000002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400.33780000000002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CUSTOS!$M$31)*25.7023</f>
        <v>25.702300000000001</v>
      </c>
      <c r="AI45" s="13">
        <f>(1 - CUSTOS!$M$31)*25.7023</f>
        <v>25.702300000000001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1.6719662289963972</v>
      </c>
      <c r="N46" s="13">
        <f ca="1">(+M46+O46+R46+U46+V46+W46+X46+Y46+Z46+AA46+AC46+AH46+AI46+AJ46+AK46)*CUSTOS!$M$5</f>
        <v>2.9575996622899636E-12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0.48070000000000002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240.20269999999999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CUSTOS!$M$31)*25.7023</f>
        <v>25.702300000000001</v>
      </c>
      <c r="AI46" s="13">
        <f>(1 - CUSTOS!$M$31)*25.7023</f>
        <v>25.702300000000001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1.6719662289963972</v>
      </c>
      <c r="N47" s="13">
        <f ca="1">(+M47+O47+R47+U47+V47+W47+X47+Y47+Z47+AA47+AC47+AH47+AI47+AJ47+AK47)*CUSTOS!$M$5</f>
        <v>1.3530446622899641E-12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0.1603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80.067599999999999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CUSTOS!$M$31)*25.7023</f>
        <v>25.702300000000001</v>
      </c>
      <c r="AI47" s="13">
        <f>(1 - CUSTOS!$M$31)*25.7023</f>
        <v>25.702300000000001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1.6719662289963972</v>
      </c>
      <c r="N48" s="13">
        <f ca="1">(+M48+O48+R48+U48+V48+W48+X48+Y48+Z48+AA48+AC48+AH48+AI48+AJ48+AK48)*CUSTOS!$M$5</f>
        <v>1.7305866622899641E-12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0.23569999999999999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117.74639999999999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CUSTOS!$M$31)*25.7023</f>
        <v>25.702300000000001</v>
      </c>
      <c r="AI48" s="13">
        <f>(1 - CUSTOS!$M$31)*25.7023</f>
        <v>25.702300000000001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1.6719662289963972</v>
      </c>
      <c r="N49" s="13">
        <f ca="1">(+M49+O49+R49+U49+V49+W49+X49+Y49+Z49+AA49+AC49+AH49+AI49+AJ49+AK49)*CUSTOS!$M$5</f>
        <v>1.7305866622899641E-12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0.23569999999999999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117.74639999999999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CUSTOS!$M$31)*25.7023</f>
        <v>25.702300000000001</v>
      </c>
      <c r="AI49" s="13">
        <f>(1 - CUSTOS!$M$31)*25.7023</f>
        <v>25.702300000000001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0.9195814259480185</v>
      </c>
      <c r="N50" s="13">
        <f ca="1">(+M50+O50+R50+U50+V50+W50+X50+Y50+Z50+AA50+AC50+AH50+AI50+AJ50+AK50)*CUSTOS!$M$5</f>
        <v>9.5182266425948021E-13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0.129635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64.76052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CUSTOS!$M$32)*25.7023</f>
        <v>14.136265000000002</v>
      </c>
      <c r="AI50" s="13">
        <f>(1 - CUSTOS!$M$32)*25.7023</f>
        <v>14.136265000000002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1.0031797373978384</v>
      </c>
      <c r="N51" s="13">
        <f ca="1">(+M51+O51+R51+U51+V51+W51+X51+Y51+Z51+AA51+AC51+AH51+AI51+AJ51+AK51)*CUSTOS!$M$5</f>
        <v>1.0383519973739783E-12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0.14141999999999999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70.647839999999988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CUSTOS!$M$33)*25.7023</f>
        <v>15.421379999999999</v>
      </c>
      <c r="AI51" s="13">
        <f>(1 - CUSTOS!$M$33)*25.7023</f>
        <v>15.421379999999999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550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551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552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126790.10201999998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129897.2752446573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1.2256764371025329E-7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142585.34009999997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141251.63609999997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126790.10201999998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141251.63609999997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142585.34009999997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27589.528754769999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9144561.5778447222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2505525.5765406303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2505525.5765406303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488</v>
      </c>
      <c r="L56" s="13">
        <f>CUSTOS!$D$2</f>
        <v>0</v>
      </c>
      <c r="M56" s="13">
        <f>CUSTOS!$D$3</f>
        <v>133762.32262577442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11535786.343379999</v>
      </c>
      <c r="R56" s="13">
        <f>CUSTOS!$D$8</f>
        <v>2028549.6268199999</v>
      </c>
      <c r="S56" s="13">
        <f>CUSTOS!$D$9</f>
        <v>0</v>
      </c>
      <c r="T56" s="13">
        <f>CUSTOS!$D$10</f>
        <v>13698098.292825773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11589713.29614</v>
      </c>
      <c r="Z56" s="13">
        <f>Z54</f>
        <v>0</v>
      </c>
      <c r="AA56" s="13">
        <f>AA54</f>
        <v>0</v>
      </c>
      <c r="AB56" s="13">
        <f>CUSTOS!$D$18</f>
        <v>11589713.29614</v>
      </c>
      <c r="AC56" s="13">
        <f>CUSTOS!$D$19</f>
        <v>30237728.700547267</v>
      </c>
      <c r="AD56" s="13">
        <f>CUSTOS!$D$20</f>
        <v>30237728.700547267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1259155.8978067304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1259155.8978067304</v>
      </c>
      <c r="AM56" s="13">
        <f>CUSTOS!$D$29</f>
        <v>56784696.18731977</v>
      </c>
    </row>
    <row r="57" spans="1:42" ht="11.25" customHeight="1" x14ac:dyDescent="0.25">
      <c r="K57" s="16" t="s">
        <v>489</v>
      </c>
      <c r="L57" s="13">
        <f>CUSTOS!$E$2</f>
        <v>0</v>
      </c>
      <c r="M57" s="13">
        <f>CUSTOS!$E$3</f>
        <v>-3652.6782808927237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-349542.0553979844</v>
      </c>
      <c r="R57" s="13">
        <f>CUSTOS!$E$8</f>
        <v>-61869.648417803073</v>
      </c>
      <c r="S57" s="13">
        <f>CUSTOS!$E$9</f>
        <v>0</v>
      </c>
      <c r="T57" s="13">
        <f>CUSTOS!$E$10</f>
        <v>-415064.38209668017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365137.38193692808</v>
      </c>
      <c r="Z57" s="13">
        <f>CUSTOS!$E$16</f>
        <v>0</v>
      </c>
      <c r="AA57" s="13">
        <f>CUSTOS!$E$17</f>
        <v>0</v>
      </c>
      <c r="AB57" s="13">
        <f>CUSTOS!$E$18</f>
        <v>365137.38193692808</v>
      </c>
      <c r="AC57" s="13">
        <f>CUSTOS!$E$19</f>
        <v>-1327071.3845209642</v>
      </c>
      <c r="AD57" s="13">
        <f>CUSTOS!$E$20</f>
        <v>-1327071.3845209642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-89359.797349940214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-89359.797349940214</v>
      </c>
      <c r="AM57" s="13">
        <f>CUSTOS!$E$29</f>
        <v>-1466358.1820306566</v>
      </c>
    </row>
    <row r="58" spans="1:42" ht="11.25" customHeight="1" x14ac:dyDescent="0.25">
      <c r="K58" s="16" t="s">
        <v>490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553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554</v>
      </c>
      <c r="L60" s="13">
        <f t="shared" ref="L60:S60" si="1">IF((L55+L53)&lt;&gt;0,(L56-L54-L59)/(L55+L53),0)</f>
        <v>0</v>
      </c>
      <c r="M60" s="13">
        <f t="shared" si="1"/>
        <v>1.0297546455369246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90.983335131005205</v>
      </c>
      <c r="R60" s="13">
        <f t="shared" si="1"/>
        <v>14.361246940770835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420.07652247906685</v>
      </c>
      <c r="Z60" s="13"/>
      <c r="AA60" s="13"/>
      <c r="AB60" s="13"/>
      <c r="AC60" s="13">
        <f>IF(AC55&lt;&gt;0,(AC56-AC54-AC53-AC59)/AC55,0)</f>
        <v>3.3066351451781664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0.50255160418088496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25" t="s">
        <v>558</v>
      </c>
      <c r="L62" s="25" t="s">
        <v>559</v>
      </c>
      <c r="M62" s="25" t="s">
        <v>560</v>
      </c>
      <c r="N62" s="25" t="s">
        <v>561</v>
      </c>
      <c r="O62" s="25" t="s">
        <v>562</v>
      </c>
      <c r="P62" s="25" t="s">
        <v>563</v>
      </c>
    </row>
    <row r="63" spans="1:42" ht="11.25" customHeight="1" x14ac:dyDescent="0.25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25178778.561265457</v>
      </c>
      <c r="M63" s="24">
        <f>+'TUSD BE'!$I$7+'TUSD BE'!$I$8+'TUSD BE'!$I$11+'TUSD BE'!$I$12+'TUSD BE'!$I$13+'TUSD BE'!$I$14</f>
        <v>90384.587999999989</v>
      </c>
      <c r="N63" s="24">
        <f ca="1">IF(AND($L$70&lt;&gt;0,M63&lt;&gt;0),(L63/$L$70*$AJ$56)/M63,0)</f>
        <v>0</v>
      </c>
      <c r="O63" s="24"/>
      <c r="P63" s="24"/>
    </row>
    <row r="64" spans="1:42" ht="11.25" customHeight="1" x14ac:dyDescent="0.25">
      <c r="K64" s="24" t="s">
        <v>81</v>
      </c>
      <c r="L64" s="24">
        <f ca="1">+$L$65+$L$66+$L$67+$L$68+$L$69</f>
        <v>31605917.626054045</v>
      </c>
      <c r="M64" s="24">
        <f>+$M$65+$M$66+$M$67+$M$68+$M$69</f>
        <v>54512.43</v>
      </c>
      <c r="N64" s="24">
        <f ca="1">IF(AND($L$70&lt;&gt;0,M64&lt;&gt;0),(L64/$L$70*$AJ$56)/M64,0)</f>
        <v>0</v>
      </c>
      <c r="O64" s="24"/>
      <c r="P64" s="24"/>
    </row>
    <row r="65" spans="11:16" ht="11.25" customHeight="1" x14ac:dyDescent="0.25">
      <c r="K65" s="24" t="s">
        <v>81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25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19025807.111432582</v>
      </c>
      <c r="M66" s="24">
        <f>+'TUSD BE'!$I$17+'TUSD BE'!$I$18+'TUSD BE'!$I$19+'TUSD BE'!$I$20+'TUSD BE'!$I$21+'TUSD BE'!$I$22+'TUSD BE'!$I$23+'TUSD BE'!$I$24+'TUSD BE'!$I$25+'TUSD BE'!$I$26+'TUSD BE'!$I$27+'TUSD BE'!$I$28+'TUSD BE'!$I$29</f>
        <v>31505.938999999995</v>
      </c>
      <c r="N66" s="24"/>
      <c r="O66" s="24"/>
      <c r="P66" s="24"/>
    </row>
    <row r="67" spans="11:16" ht="11.25" customHeight="1" x14ac:dyDescent="0.25">
      <c r="K67" s="24" t="s">
        <v>43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1947568.332093416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3201.45</v>
      </c>
      <c r="N67" s="24"/>
      <c r="O67" s="24"/>
      <c r="P67" s="24"/>
    </row>
    <row r="68" spans="11:16" ht="11.25" customHeight="1" x14ac:dyDescent="0.25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8913749.5731915664</v>
      </c>
      <c r="M68" s="24">
        <f>+'TUSD BE'!$I$45+'TUSD BE'!$I$46+'TUSD BE'!$I$47+'TUSD BE'!$I$48+'TUSD BE'!$I$49</f>
        <v>14667.979000000003</v>
      </c>
      <c r="N68" s="24"/>
      <c r="O68" s="24"/>
      <c r="P68" s="24"/>
    </row>
    <row r="69" spans="11:16" ht="11.25" customHeight="1" x14ac:dyDescent="0.25">
      <c r="K69" s="24" t="s">
        <v>46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1718792.6093364751</v>
      </c>
      <c r="M69" s="24">
        <f>+'TUSD BE'!$I$50+'TUSD BE'!$I$51</f>
        <v>5137.0619999999999</v>
      </c>
      <c r="N69" s="24"/>
      <c r="O69" s="24"/>
      <c r="P69" s="24"/>
    </row>
    <row r="70" spans="11:16" ht="11.25" customHeight="1" x14ac:dyDescent="0.25">
      <c r="K70" s="24"/>
      <c r="L70" s="24">
        <f ca="1">SUM($L$63:$L$69,-$L$64)</f>
        <v>56784696.187319502</v>
      </c>
      <c r="M70" s="24">
        <f>SUM($M$63:$M$69,-$M$64)</f>
        <v>144897.01799999998</v>
      </c>
      <c r="N70" s="24"/>
      <c r="O70" s="24"/>
      <c r="P70" s="24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8BE-CABC-4C3D-8B79-EA70B1B9F4B0}">
  <dimension ref="A1:AP58"/>
  <sheetViews>
    <sheetView showGridLines="0" topLeftCell="X40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555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549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/>
      <c r="U3" s="92" t="s">
        <v>456</v>
      </c>
      <c r="V3" s="92"/>
      <c r="W3" s="92"/>
      <c r="X3" s="92"/>
      <c r="Y3" s="92"/>
      <c r="Z3" s="92"/>
      <c r="AA3" s="92"/>
      <c r="AB3" s="92"/>
      <c r="AC3" s="92" t="s">
        <v>464</v>
      </c>
      <c r="AD3" s="92"/>
      <c r="AE3" s="92" t="s">
        <v>466</v>
      </c>
      <c r="AF3" s="92"/>
      <c r="AG3" s="92"/>
      <c r="AH3" s="92" t="s">
        <v>469</v>
      </c>
      <c r="AI3" s="92"/>
      <c r="AJ3" s="92"/>
      <c r="AK3" s="92"/>
      <c r="AL3" s="92"/>
      <c r="AM3" s="92" t="s">
        <v>455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455</v>
      </c>
      <c r="U4" s="10" t="s">
        <v>457</v>
      </c>
      <c r="V4" s="10" t="s">
        <v>458</v>
      </c>
      <c r="W4" s="10" t="s">
        <v>459</v>
      </c>
      <c r="X4" s="10" t="s">
        <v>460</v>
      </c>
      <c r="Y4" s="10" t="s">
        <v>461</v>
      </c>
      <c r="Z4" s="10" t="s">
        <v>462</v>
      </c>
      <c r="AA4" s="10" t="s">
        <v>463</v>
      </c>
      <c r="AB4" s="10" t="s">
        <v>455</v>
      </c>
      <c r="AC4" s="10" t="s">
        <v>465</v>
      </c>
      <c r="AD4" s="10" t="s">
        <v>455</v>
      </c>
      <c r="AE4" s="10" t="s">
        <v>467</v>
      </c>
      <c r="AF4" s="10" t="s">
        <v>468</v>
      </c>
      <c r="AG4" s="10" t="s">
        <v>455</v>
      </c>
      <c r="AH4" s="10" t="s">
        <v>470</v>
      </c>
      <c r="AI4" s="10" t="s">
        <v>471</v>
      </c>
      <c r="AJ4" s="10" t="s">
        <v>472</v>
      </c>
      <c r="AK4" s="10" t="s">
        <v>473</v>
      </c>
      <c r="AL4" s="10" t="s">
        <v>455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28.60721118082445</v>
      </c>
      <c r="Z5" s="13">
        <f>'TR TUSD'!$Z$5</f>
        <v>0</v>
      </c>
      <c r="AA5" s="13">
        <f>'TR TUSD'!$AA$5</f>
        <v>0</v>
      </c>
      <c r="AB5" s="13">
        <f>SUM($U$5:$AA$5)</f>
        <v>28.60721118082445</v>
      </c>
      <c r="AC5" s="13">
        <f>'TR TUSD'!$AC$5*'TR TUSD'!$AC$60</f>
        <v>79.240535282564096</v>
      </c>
      <c r="AD5" s="13">
        <f>SUM($AC$5:$AC$5)</f>
        <v>79.240535282564096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107.84774646338855</v>
      </c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16.46699968117942</v>
      </c>
      <c r="Z6" s="13">
        <f>'TR TUSD'!$Z$6</f>
        <v>0</v>
      </c>
      <c r="AA6" s="13">
        <f>'TR TUSD'!$AA$6</f>
        <v>0</v>
      </c>
      <c r="AB6" s="13">
        <f>SUM($U$6:$AA$6)</f>
        <v>16.46699968117942</v>
      </c>
      <c r="AC6" s="13">
        <f>'TR TUSD'!$AC$6*'TR TUSD'!$AC$60</f>
        <v>21.687889253709077</v>
      </c>
      <c r="AD6" s="13">
        <f>SUM($AC$6:$AC$6)</f>
        <v>21.687889253709077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38.154888934888497</v>
      </c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>
        <f>'TR TUSD'!$L$7*'TR TUSD'!$L$60</f>
        <v>0</v>
      </c>
      <c r="M7" s="13">
        <f>'TR TUSD'!$M$7*'TR TUSD'!$M$60</f>
        <v>0.48556403408241156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76.426001510044372</v>
      </c>
      <c r="R7" s="13">
        <f>'TR TUSD'!$R$7*'TR TUSD'!$R$60</f>
        <v>14.361246940770835</v>
      </c>
      <c r="S7" s="13">
        <f>'TR TUSD'!$S$7*'TR TUSD'!$S$60</f>
        <v>0</v>
      </c>
      <c r="T7" s="13">
        <f ca="1">SUM($L$7:$S$7)</f>
        <v>91.272812484897628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6.4711559863955834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6.4711559863955834</v>
      </c>
      <c r="AM7" s="13">
        <f ca="1">SUMIF($L$4:$AL$4,"SUBTOTAL",$L$7:$AL$7)</f>
        <v>97.743968471293215</v>
      </c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0.48556403408241156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0.48556403408241156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6.4711559863955834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6.4711559863955834</v>
      </c>
      <c r="AM8" s="13">
        <f ca="1">SUMIF($L$4:$AL$4,"SUBTOTAL",$L$8:$AL$8)</f>
        <v>6.9567200204779951</v>
      </c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'TR TUSD'!$L$9*'TR TUSD'!$L$60</f>
        <v>0</v>
      </c>
      <c r="M9" s="13">
        <f>'TR TUSD'!$M$9*'TR TUSD'!$M$60</f>
        <v>1.2048129352782018E-2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1.2048129352782018E-2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12.104599275953714</v>
      </c>
      <c r="AD9" s="13">
        <f>SUM($AC$9:$AC$9)</f>
        <v>12.104599275953714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12.116647405306496</v>
      </c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16.46699968117942</v>
      </c>
      <c r="Z10" s="13">
        <f>'TR TUSD'!$Z$10</f>
        <v>0</v>
      </c>
      <c r="AA10" s="13">
        <f>'TR TUSD'!$AA$10</f>
        <v>0</v>
      </c>
      <c r="AB10" s="13">
        <f>SUM($U$10:$AA$10)</f>
        <v>16.46699968117942</v>
      </c>
      <c r="AC10" s="13">
        <f>'TR TUSD'!$AC$10*'TR TUSD'!$AC$60</f>
        <v>21.687889253709077</v>
      </c>
      <c r="AD10" s="13">
        <f>SUM($AC$10:$AC$10)</f>
        <v>21.687889253709077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38.154888934888497</v>
      </c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>
        <f>'TR TUSD'!$L$11*'TR TUSD'!$L$60</f>
        <v>0</v>
      </c>
      <c r="M11" s="13">
        <f>'TR TUSD'!$M$11*'TR TUSD'!$M$60</f>
        <v>0.48556403408241156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76.426001510044372</v>
      </c>
      <c r="R11" s="13">
        <f>'TR TUSD'!$R$11*'TR TUSD'!$R$60</f>
        <v>14.361246940770835</v>
      </c>
      <c r="S11" s="13">
        <f>'TR TUSD'!$S$11*'TR TUSD'!$S$60</f>
        <v>0</v>
      </c>
      <c r="T11" s="13">
        <f ca="1">SUM($L$11:$S$11)</f>
        <v>91.272812484897628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688.37939738644684</v>
      </c>
      <c r="Z11" s="13">
        <f>'TR TUSD'!$Z$11</f>
        <v>0</v>
      </c>
      <c r="AA11" s="13">
        <f>'TR TUSD'!$AA$11</f>
        <v>0</v>
      </c>
      <c r="AB11" s="13">
        <f>SUM($U$11:$AA$11)</f>
        <v>688.37939738644684</v>
      </c>
      <c r="AC11" s="13">
        <f>'TR TUSD'!$AC$11*'TR TUSD'!$AC$60</f>
        <v>1905.7335343584325</v>
      </c>
      <c r="AD11" s="13">
        <f>SUM($AC$11:$AC$11)</f>
        <v>1905.7335343584325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6.4711559863955834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6.4711559863955834</v>
      </c>
      <c r="AM11" s="13">
        <f ca="1">SUMIF($L$4:$AL$4,"SUBTOTAL",$L$11:$AL$11)</f>
        <v>2691.8569002161721</v>
      </c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>
        <f>'TR TUSD'!$L$12*'TR TUSD'!$L$60</f>
        <v>0</v>
      </c>
      <c r="M12" s="13">
        <f>'TR TUSD'!$M$12*'TR TUSD'!$M$60</f>
        <v>0.48556403408241156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76.426001510044372</v>
      </c>
      <c r="R12" s="13">
        <f>'TR TUSD'!$R$12*'TR TUSD'!$R$60</f>
        <v>14.361246940770835</v>
      </c>
      <c r="S12" s="13">
        <f>'TR TUSD'!$S$12*'TR TUSD'!$S$60</f>
        <v>0</v>
      </c>
      <c r="T12" s="13">
        <f ca="1">SUM($L$12:$S$12)</f>
        <v>91.272812484897628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6.4711559863955834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6.4711559863955834</v>
      </c>
      <c r="AM12" s="13">
        <f ca="1">SUMIF($L$4:$AL$4,"SUBTOTAL",$L$12:$AL$12)</f>
        <v>97.743968471293215</v>
      </c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0.48556403408241156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0.48556403408241156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688.37939738644684</v>
      </c>
      <c r="Z13" s="13">
        <f>'TR TUSD'!$Z$13</f>
        <v>0</v>
      </c>
      <c r="AA13" s="13">
        <f>'TR TUSD'!$AA$13</f>
        <v>0</v>
      </c>
      <c r="AB13" s="13">
        <f>SUM($U$13:$AA$13)</f>
        <v>688.37939738644684</v>
      </c>
      <c r="AC13" s="13">
        <f>'TR TUSD'!$AC$13*'TR TUSD'!$AC$60</f>
        <v>1905.7335343584325</v>
      </c>
      <c r="AD13" s="13">
        <f>SUM($AC$13:$AC$13)</f>
        <v>1905.7335343584325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6.4711559863955834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6.4711559863955834</v>
      </c>
      <c r="AM13" s="13">
        <f ca="1">SUMIF($L$4:$AL$4,"SUBTOTAL",$L$13:$AL$13)</f>
        <v>2601.0696517653569</v>
      </c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0.48556403408241156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0.48556403408241156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6.4711559863955834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6.4711559863955834</v>
      </c>
      <c r="AM14" s="13">
        <f ca="1">SUMIF($L$4:$AL$4,"SUBTOTAL",$L$14:$AL$14)</f>
        <v>6.9567200204779951</v>
      </c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6.8993561250973957E-3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6.8993561250973957E-3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6.9531923832806477</v>
      </c>
      <c r="AD15" s="13">
        <f>SUM($AC$15:$AC$15)</f>
        <v>6.9531923832806477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6.9600917394057449</v>
      </c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6.8993561250973957E-3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6.8993561250973957E-3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20.696229373670146</v>
      </c>
      <c r="AD16" s="13">
        <f>SUM($AC$16:$AC$16)</f>
        <v>20.696229373670146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20.703128729795242</v>
      </c>
      <c r="AP16" s="13"/>
    </row>
    <row r="17" spans="1:42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1.7217149914898937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90.983335131005205</v>
      </c>
      <c r="R17" s="13">
        <f>'TR TUSD'!$R$17*'TR TUSD'!$R$60</f>
        <v>14.361246940770835</v>
      </c>
      <c r="S17" s="13">
        <f>'TR TUSD'!$S$17*'TR TUSD'!$S$60</f>
        <v>0</v>
      </c>
      <c r="T17" s="13">
        <f ca="1">SUM($L$17:$S$17)</f>
        <v>107.06629706326594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267.25268360118235</v>
      </c>
      <c r="Z17" s="13">
        <f>'TR TUSD'!$Z$17</f>
        <v>0</v>
      </c>
      <c r="AA17" s="13">
        <f>'TR TUSD'!$AA$17</f>
        <v>0</v>
      </c>
      <c r="AB17" s="13">
        <f>SUM($U$17:$AA$17)</f>
        <v>267.25268360118235</v>
      </c>
      <c r="AC17" s="13">
        <f>'TR TUSD'!$AC$17*'TR TUSD'!$AC$60</f>
        <v>1051.2299041698602</v>
      </c>
      <c r="AD17" s="13">
        <f>SUM($AC$17:$AC$17)</f>
        <v>1051.2299041698602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12.916732096138359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12.916732096138359</v>
      </c>
      <c r="AM17" s="13">
        <f ca="1">SUMIF($L$4:$AL$4,"SUBTOTAL",$L$17:$AL$17)</f>
        <v>1438.4656169304467</v>
      </c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1.7217149914898937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90.983335131005205</v>
      </c>
      <c r="R18" s="13">
        <f>'TR TUSD'!$R$18*'TR TUSD'!$R$60</f>
        <v>14.361246940770835</v>
      </c>
      <c r="S18" s="13">
        <f>'TR TUSD'!$S$18*'TR TUSD'!$S$60</f>
        <v>0</v>
      </c>
      <c r="T18" s="13">
        <f ca="1">SUM($L$18:$S$18)</f>
        <v>107.06629706326594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160.38521628250771</v>
      </c>
      <c r="Z18" s="13">
        <f>'TR TUSD'!$Z$18</f>
        <v>0</v>
      </c>
      <c r="AA18" s="13">
        <f>'TR TUSD'!$AA$18</f>
        <v>0</v>
      </c>
      <c r="AB18" s="13">
        <f>SUM($U$18:$AA$18)</f>
        <v>160.38521628250771</v>
      </c>
      <c r="AC18" s="13">
        <f>'TR TUSD'!$AC$18*'TR TUSD'!$AC$60</f>
        <v>630.73800863461906</v>
      </c>
      <c r="AD18" s="13">
        <f>SUM($AC$18:$AC$18)</f>
        <v>630.73800863461906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12.916732096138359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12.916732096138359</v>
      </c>
      <c r="AM18" s="13">
        <f ca="1">SUMIF($L$4:$AL$4,"SUBTOTAL",$L$18:$AL$18)</f>
        <v>911.10625407653117</v>
      </c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1.7217149914898937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90.983335131005205</v>
      </c>
      <c r="R19" s="13">
        <f>'TR TUSD'!$R$19*'TR TUSD'!$R$60</f>
        <v>14.361246940770835</v>
      </c>
      <c r="S19" s="13">
        <f>'TR TUSD'!$S$19*'TR TUSD'!$S$60</f>
        <v>0</v>
      </c>
      <c r="T19" s="13">
        <f ca="1">SUM($L$19:$S$19)</f>
        <v>107.06629706326594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53.47574131158521</v>
      </c>
      <c r="Z19" s="13">
        <f>'TR TUSD'!$Z$19</f>
        <v>0</v>
      </c>
      <c r="AA19" s="13">
        <f>'TR TUSD'!$AA$19</f>
        <v>0</v>
      </c>
      <c r="AB19" s="13">
        <f>SUM($U$19:$AA$19)</f>
        <v>53.47574131158521</v>
      </c>
      <c r="AC19" s="13">
        <f>'TR TUSD'!$AC$19*'TR TUSD'!$AC$60</f>
        <v>210.24578243586333</v>
      </c>
      <c r="AD19" s="13">
        <f>SUM($AC$19:$AC$19)</f>
        <v>210.24578243586333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12.916732096138359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12.916732096138359</v>
      </c>
      <c r="AM19" s="13">
        <f ca="1">SUMIF($L$4:$AL$4,"SUBTOTAL",$L$19:$AL$19)</f>
        <v>383.70455290685283</v>
      </c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>
        <f>'TR TUSD'!$L$20*'TR TUSD'!$L$60</f>
        <v>0</v>
      </c>
      <c r="M20" s="13">
        <f>'TR TUSD'!$M$20*'TR TUSD'!$M$60</f>
        <v>1.7217149914898937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90.983335131005205</v>
      </c>
      <c r="R20" s="13">
        <f>'TR TUSD'!$R$20*'TR TUSD'!$R$60</f>
        <v>14.361246940770835</v>
      </c>
      <c r="S20" s="13">
        <f>'TR TUSD'!$S$20*'TR TUSD'!$S$60</f>
        <v>0</v>
      </c>
      <c r="T20" s="13">
        <f ca="1">SUM($L$20:$S$20)</f>
        <v>107.06629706326594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99.012036348316059</v>
      </c>
      <c r="Z20" s="13">
        <f>'TR TUSD'!$Z$20</f>
        <v>0</v>
      </c>
      <c r="AA20" s="13">
        <f>'TR TUSD'!$AA$20</f>
        <v>0</v>
      </c>
      <c r="AB20" s="13">
        <f>SUM($U$20:$AA$20)</f>
        <v>99.012036348316059</v>
      </c>
      <c r="AC20" s="13">
        <f>'TR TUSD'!$AC$20*'TR TUSD'!$AC$60</f>
        <v>389.34438445820643</v>
      </c>
      <c r="AD20" s="13">
        <f>SUM($AC$20:$AC$20)</f>
        <v>389.34438445820643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12.916732096138359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12.916732096138359</v>
      </c>
      <c r="AM20" s="13">
        <f ca="1">SUMIF($L$4:$AL$4,"SUBTOTAL",$L$20:$AL$20)</f>
        <v>608.33944996592675</v>
      </c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>
        <f>'TR TUSD'!$L$21*'TR TUSD'!$L$60</f>
        <v>0</v>
      </c>
      <c r="M21" s="13">
        <f>'TR TUSD'!$M$21*'TR TUSD'!$M$60</f>
        <v>1.7217149914898937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1.7217149914898937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99.012036348316059</v>
      </c>
      <c r="Z21" s="13">
        <f>'TR TUSD'!$Z$21</f>
        <v>0</v>
      </c>
      <c r="AA21" s="13">
        <f>'TR TUSD'!$AA$21</f>
        <v>0</v>
      </c>
      <c r="AB21" s="13">
        <f>SUM($U$21:$AA$21)</f>
        <v>99.012036348316059</v>
      </c>
      <c r="AC21" s="13">
        <f>'TR TUSD'!$AC$21*'TR TUSD'!$AC$60</f>
        <v>389.34438445820643</v>
      </c>
      <c r="AD21" s="13">
        <f>SUM($AC$21:$AC$21)</f>
        <v>389.34438445820643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12.916732096138359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12.916732096138359</v>
      </c>
      <c r="AM21" s="13">
        <f ca="1">SUMIF($L$4:$AL$4,"SUBTOTAL",$L$21:$AL$21)</f>
        <v>502.99486789415073</v>
      </c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>
        <f>'TR TUSD'!$L$22*'TR TUSD'!$L$60</f>
        <v>0</v>
      </c>
      <c r="M22" s="13">
        <f>'TR TUSD'!$M$22*'TR TUSD'!$M$60</f>
        <v>1.7217149914898937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1.7217149914898937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99.012036348316059</v>
      </c>
      <c r="Z22" s="13">
        <f>'TR TUSD'!$Z$22</f>
        <v>0</v>
      </c>
      <c r="AA22" s="13">
        <f>'TR TUSD'!$AA$22</f>
        <v>0</v>
      </c>
      <c r="AB22" s="13">
        <f>SUM($U$22:$AA$22)</f>
        <v>99.012036348316059</v>
      </c>
      <c r="AC22" s="13">
        <f>'TR TUSD'!$AC$22*'TR TUSD'!$AC$60</f>
        <v>389.34438445820643</v>
      </c>
      <c r="AD22" s="13">
        <f>SUM($AC$22:$AC$22)</f>
        <v>389.34438445820643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12.916732096138359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12.916732096138359</v>
      </c>
      <c r="AM22" s="13">
        <f ca="1">SUMIF($L$4:$AL$4,"SUBTOTAL",$L$22:$AL$22)</f>
        <v>502.99486789415073</v>
      </c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>
        <f>'TR TUSD'!$L$23*'TR TUSD'!$L$60</f>
        <v>0</v>
      </c>
      <c r="M23" s="13">
        <f>'TR TUSD'!$M$23*'TR TUSD'!$M$60</f>
        <v>1.7217149914898937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1.7217149914898937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99.012036348316059</v>
      </c>
      <c r="Z23" s="13">
        <f>'TR TUSD'!$Z$23</f>
        <v>0</v>
      </c>
      <c r="AA23" s="13">
        <f>'TR TUSD'!$AA$23</f>
        <v>0</v>
      </c>
      <c r="AB23" s="13">
        <f>SUM($U$23:$AA$23)</f>
        <v>99.012036348316059</v>
      </c>
      <c r="AC23" s="13">
        <f>'TR TUSD'!$AC$23*'TR TUSD'!$AC$60</f>
        <v>389.34438445820643</v>
      </c>
      <c r="AD23" s="13">
        <f>SUM($AC$23:$AC$23)</f>
        <v>389.34438445820643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12.916732096138359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12.916732096138359</v>
      </c>
      <c r="AM23" s="13">
        <f ca="1">SUMIF($L$4:$AL$4,"SUBTOTAL",$L$23:$AL$23)</f>
        <v>502.99486789415073</v>
      </c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>
        <f>'TR TUSD'!$L$24*'TR TUSD'!$L$60</f>
        <v>0</v>
      </c>
      <c r="M24" s="13">
        <f>'TR TUSD'!$M$24*'TR TUSD'!$M$60</f>
        <v>1.7217149914898937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1.7217149914898937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99.012036348316059</v>
      </c>
      <c r="Z24" s="13">
        <f>'TR TUSD'!$Z$24</f>
        <v>0</v>
      </c>
      <c r="AA24" s="13">
        <f>'TR TUSD'!$AA$24</f>
        <v>0</v>
      </c>
      <c r="AB24" s="13">
        <f>SUM($U$24:$AA$24)</f>
        <v>99.012036348316059</v>
      </c>
      <c r="AC24" s="13">
        <f>'TR TUSD'!$AC$24*'TR TUSD'!$AC$60</f>
        <v>389.34438445820643</v>
      </c>
      <c r="AD24" s="13">
        <f>SUM($AC$24:$AC$24)</f>
        <v>389.34438445820643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12.916732096138359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12.916732096138359</v>
      </c>
      <c r="AM24" s="13">
        <f ca="1">SUMIF($L$4:$AL$4,"SUBTOTAL",$L$24:$AL$24)</f>
        <v>502.99486789415073</v>
      </c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1.7217149914898937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90.983335131005205</v>
      </c>
      <c r="R25" s="13">
        <f>'TR TUSD'!$R$25*'TR TUSD'!$R$60</f>
        <v>14.361246940770835</v>
      </c>
      <c r="S25" s="13">
        <f>'TR TUSD'!$S$25*'TR TUSD'!$S$60</f>
        <v>0</v>
      </c>
      <c r="T25" s="13">
        <f ca="1">SUM($L$25:$S$25)</f>
        <v>107.06629706326594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99.012036348316059</v>
      </c>
      <c r="Z25" s="13">
        <f>'TR TUSD'!$Z$25</f>
        <v>0</v>
      </c>
      <c r="AA25" s="13">
        <f>'TR TUSD'!$AA$25</f>
        <v>0</v>
      </c>
      <c r="AB25" s="13">
        <f>SUM($U$25:$AA$25)</f>
        <v>99.012036348316059</v>
      </c>
      <c r="AC25" s="13">
        <f>'TR TUSD'!$AC$25*'TR TUSD'!$AC$60</f>
        <v>389.34438445820643</v>
      </c>
      <c r="AD25" s="13">
        <f>SUM($AC$25:$AC$25)</f>
        <v>389.34438445820643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12.916732096138359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12.916732096138359</v>
      </c>
      <c r="AM25" s="13">
        <f ca="1">SUMIF($L$4:$AL$4,"SUBTOTAL",$L$25:$AL$25)</f>
        <v>608.33944996592675</v>
      </c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1.7217149914898937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1.7217149914898937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99.012036348316059</v>
      </c>
      <c r="Z26" s="13">
        <f>'TR TUSD'!$Z$26</f>
        <v>0</v>
      </c>
      <c r="AA26" s="13">
        <f>'TR TUSD'!$AA$26</f>
        <v>0</v>
      </c>
      <c r="AB26" s="13">
        <f>SUM($U$26:$AA$26)</f>
        <v>99.012036348316059</v>
      </c>
      <c r="AC26" s="13">
        <f>'TR TUSD'!$AC$26*'TR TUSD'!$AC$60</f>
        <v>389.34438445820643</v>
      </c>
      <c r="AD26" s="13">
        <f>SUM($AC$26:$AC$26)</f>
        <v>389.34438445820643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12.916732096138359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12.916732096138359</v>
      </c>
      <c r="AM26" s="13">
        <f ca="1">SUMIF($L$4:$AL$4,"SUBTOTAL",$L$26:$AL$26)</f>
        <v>502.99486789415073</v>
      </c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1.7217149914898937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1.7217149914898937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99.012036348316059</v>
      </c>
      <c r="Z27" s="13">
        <f>'TR TUSD'!$Z$27</f>
        <v>0</v>
      </c>
      <c r="AA27" s="13">
        <f>'TR TUSD'!$AA$27</f>
        <v>0</v>
      </c>
      <c r="AB27" s="13">
        <f>SUM($U$27:$AA$27)</f>
        <v>99.012036348316059</v>
      </c>
      <c r="AC27" s="13">
        <f>'TR TUSD'!$AC$27*'TR TUSD'!$AC$60</f>
        <v>389.34438445820643</v>
      </c>
      <c r="AD27" s="13">
        <f>SUM($AC$27:$AC$27)</f>
        <v>389.34438445820643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12.916732096138359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12.916732096138359</v>
      </c>
      <c r="AM27" s="13">
        <f ca="1">SUMIF($L$4:$AL$4,"SUBTOTAL",$L$27:$AL$27)</f>
        <v>502.99486789415073</v>
      </c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1.7217149914898937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1.7217149914898937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99.012036348316059</v>
      </c>
      <c r="Z28" s="13">
        <f>'TR TUSD'!$Z$28</f>
        <v>0</v>
      </c>
      <c r="AA28" s="13">
        <f>'TR TUSD'!$AA$28</f>
        <v>0</v>
      </c>
      <c r="AB28" s="13">
        <f>SUM($U$28:$AA$28)</f>
        <v>99.012036348316059</v>
      </c>
      <c r="AC28" s="13">
        <f>'TR TUSD'!$AC$28*'TR TUSD'!$AC$60</f>
        <v>389.34438445820643</v>
      </c>
      <c r="AD28" s="13">
        <f>SUM($AC$28:$AC$28)</f>
        <v>389.34438445820643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12.916732096138359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12.916732096138359</v>
      </c>
      <c r="AM28" s="13">
        <f ca="1">SUMIF($L$4:$AL$4,"SUBTOTAL",$L$28:$AL$28)</f>
        <v>502.99486789415073</v>
      </c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1.7217149914898937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1.7217149914898937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99.012036348316059</v>
      </c>
      <c r="Z29" s="13">
        <f>'TR TUSD'!$Z$29</f>
        <v>0</v>
      </c>
      <c r="AA29" s="13">
        <f>'TR TUSD'!$AA$29</f>
        <v>0</v>
      </c>
      <c r="AB29" s="13">
        <f>SUM($U$29:$AA$29)</f>
        <v>99.012036348316059</v>
      </c>
      <c r="AC29" s="13">
        <f>'TR TUSD'!$AC$29*'TR TUSD'!$AC$60</f>
        <v>389.34438445820643</v>
      </c>
      <c r="AD29" s="13">
        <f>SUM($AC$29:$AC$29)</f>
        <v>389.34438445820643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12.916732096138359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12.916732096138359</v>
      </c>
      <c r="AM29" s="13">
        <f ca="1">SUMIF($L$4:$AL$4,"SUBTOTAL",$L$29:$AL$29)</f>
        <v>502.99486789415073</v>
      </c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'TR TUSD'!$L$30*'TR TUSD'!$L$60</f>
        <v>0</v>
      </c>
      <c r="M30" s="13">
        <f>'TR TUSD'!$M$30*'TR TUSD'!$M$60</f>
        <v>1.7217149914898937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90.983335131005205</v>
      </c>
      <c r="R30" s="13">
        <f>'TR TUSD'!$R$30*'TR TUSD'!$R$60</f>
        <v>14.361246940770835</v>
      </c>
      <c r="S30" s="13">
        <f>'TR TUSD'!$S$30*'TR TUSD'!$S$60</f>
        <v>0</v>
      </c>
      <c r="T30" s="13">
        <f ca="1">SUM($L$30:$S$30)</f>
        <v>107.06629706326594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292.03719842744727</v>
      </c>
      <c r="Z30" s="13">
        <f>'TR TUSD'!$Z$30</f>
        <v>0</v>
      </c>
      <c r="AA30" s="13">
        <f>'TR TUSD'!$AA$30</f>
        <v>0</v>
      </c>
      <c r="AB30" s="13">
        <f>SUM($U$30:$AA$30)</f>
        <v>292.03719842744727</v>
      </c>
      <c r="AC30" s="13">
        <f>'TR TUSD'!$AC$30*'TR TUSD'!$AC$60</f>
        <v>1148.566000284412</v>
      </c>
      <c r="AD30" s="13">
        <f>SUM($AC$30:$AC$30)</f>
        <v>1148.566000284412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12.916732096138359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12.916732096138359</v>
      </c>
      <c r="AM30" s="13">
        <f ca="1">SUMIF($L$4:$AL$4,"SUBTOTAL",$L$30:$AL$30)</f>
        <v>1560.5862278712634</v>
      </c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>
        <f>'TR TUSD'!$L$31*'TR TUSD'!$L$60</f>
        <v>0</v>
      </c>
      <c r="M31" s="13">
        <f>'TR TUSD'!$M$31*'TR TUSD'!$M$60</f>
        <v>1.7217149914898937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90.983335131005205</v>
      </c>
      <c r="R31" s="13">
        <f>'TR TUSD'!$R$31*'TR TUSD'!$R$60</f>
        <v>14.361246940770835</v>
      </c>
      <c r="S31" s="13">
        <f>'TR TUSD'!$S$31*'TR TUSD'!$S$60</f>
        <v>0</v>
      </c>
      <c r="T31" s="13">
        <f ca="1">SUM($L$31:$S$31)</f>
        <v>107.06629706326594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175.17190987377086</v>
      </c>
      <c r="Z31" s="13">
        <f>'TR TUSD'!$Z$31</f>
        <v>0</v>
      </c>
      <c r="AA31" s="13">
        <f>'TR TUSD'!$AA$31</f>
        <v>0</v>
      </c>
      <c r="AB31" s="13">
        <f>SUM($U$31:$AA$31)</f>
        <v>175.17190987377086</v>
      </c>
      <c r="AC31" s="13">
        <f>'TR TUSD'!$AC$31*'TR TUSD'!$AC$60</f>
        <v>689.13979856875585</v>
      </c>
      <c r="AD31" s="13">
        <f>SUM($AC$31:$AC$31)</f>
        <v>689.13979856875585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12.916732096138359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12.916732096138359</v>
      </c>
      <c r="AM31" s="13">
        <f ca="1">SUMIF($L$4:$AL$4,"SUBTOTAL",$L$31:$AL$31)</f>
        <v>984.29473760193105</v>
      </c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>
        <f>'TR TUSD'!$L$32*'TR TUSD'!$L$60</f>
        <v>0</v>
      </c>
      <c r="M32" s="13">
        <f>'TR TUSD'!$M$32*'TR TUSD'!$M$60</f>
        <v>1.7217149914898937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90.983335131005205</v>
      </c>
      <c r="R32" s="13">
        <f>'TR TUSD'!$R$32*'TR TUSD'!$R$60</f>
        <v>14.361246940770835</v>
      </c>
      <c r="S32" s="13">
        <f>'TR TUSD'!$S$32*'TR TUSD'!$S$60</f>
        <v>0</v>
      </c>
      <c r="T32" s="13">
        <f ca="1">SUM($L$32:$S$32)</f>
        <v>107.06629706326594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58.432644276838197</v>
      </c>
      <c r="Z32" s="13">
        <f>'TR TUSD'!$Z$32</f>
        <v>0</v>
      </c>
      <c r="AA32" s="13">
        <f>'TR TUSD'!$AA$32</f>
        <v>0</v>
      </c>
      <c r="AB32" s="13">
        <f>SUM($U$32:$AA$32)</f>
        <v>58.432644276838197</v>
      </c>
      <c r="AC32" s="13">
        <f>'TR TUSD'!$AC$32*'TR TUSD'!$AC$60</f>
        <v>229.71326618958528</v>
      </c>
      <c r="AD32" s="13">
        <f>SUM($AC$32:$AC$32)</f>
        <v>229.71326618958528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12.916732096138359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12.916732096138359</v>
      </c>
      <c r="AM32" s="13">
        <f ca="1">SUMIF($L$4:$AL$4,"SUBTOTAL",$L$32:$AL$32)</f>
        <v>408.12893962582774</v>
      </c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>
        <f>'TR TUSD'!$L$33*'TR TUSD'!$L$60</f>
        <v>0</v>
      </c>
      <c r="M33" s="13">
        <f>'TR TUSD'!$M$33*'TR TUSD'!$M$60</f>
        <v>1.7217149914898937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90.983335131005205</v>
      </c>
      <c r="R33" s="13">
        <f>'TR TUSD'!$R$33*'TR TUSD'!$R$60</f>
        <v>14.361246940770835</v>
      </c>
      <c r="S33" s="13">
        <f>'TR TUSD'!$S$33*'TR TUSD'!$S$60</f>
        <v>0</v>
      </c>
      <c r="T33" s="13">
        <f ca="1">SUM($L$33:$S$33)</f>
        <v>107.06629706326594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99.012036348316059</v>
      </c>
      <c r="Z33" s="13">
        <f>'TR TUSD'!$Z$33</f>
        <v>0</v>
      </c>
      <c r="AA33" s="13">
        <f>'TR TUSD'!$AA$33</f>
        <v>0</v>
      </c>
      <c r="AB33" s="13">
        <f>SUM($U$33:$AA$33)</f>
        <v>99.012036348316059</v>
      </c>
      <c r="AC33" s="13">
        <f>'TR TUSD'!$AC$33*'TR TUSD'!$AC$60</f>
        <v>389.34438445820643</v>
      </c>
      <c r="AD33" s="13">
        <f>SUM($AC$33:$AC$33)</f>
        <v>389.34438445820643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12.916732096138359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12.916732096138359</v>
      </c>
      <c r="AM33" s="13">
        <f ca="1">SUMIF($L$4:$AL$4,"SUBTOTAL",$L$33:$AL$33)</f>
        <v>608.33944996592675</v>
      </c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1.7217149914898937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90.983335131005205</v>
      </c>
      <c r="R34" s="13">
        <f>'TR TUSD'!$R$34*'TR TUSD'!$R$60</f>
        <v>14.361246940770835</v>
      </c>
      <c r="S34" s="13">
        <f>'TR TUSD'!$S$34*'TR TUSD'!$S$60</f>
        <v>0</v>
      </c>
      <c r="T34" s="13">
        <f ca="1">SUM($L$34:$S$34)</f>
        <v>107.06629706326594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292.03719842744727</v>
      </c>
      <c r="Z34" s="13">
        <f>'TR TUSD'!$Z$34</f>
        <v>0</v>
      </c>
      <c r="AA34" s="13">
        <f>'TR TUSD'!$AA$34</f>
        <v>0</v>
      </c>
      <c r="AB34" s="13">
        <f>SUM($U$34:$AA$34)</f>
        <v>292.03719842744727</v>
      </c>
      <c r="AC34" s="13">
        <f>'TR TUSD'!$AC$34*'TR TUSD'!$AC$60</f>
        <v>1148.566000284412</v>
      </c>
      <c r="AD34" s="13">
        <f>SUM($AC$34:$AC$34)</f>
        <v>1148.566000284412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12.916732096138359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12.916732096138359</v>
      </c>
      <c r="AM34" s="13">
        <f ca="1">SUMIF($L$4:$AL$4,"SUBTOTAL",$L$34:$AL$34)</f>
        <v>1560.5862278712634</v>
      </c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1.7217149914898937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90.983335131005205</v>
      </c>
      <c r="R35" s="13">
        <f>'TR TUSD'!$R$35*'TR TUSD'!$R$60</f>
        <v>14.361246940770835</v>
      </c>
      <c r="S35" s="13">
        <f>'TR TUSD'!$S$35*'TR TUSD'!$S$60</f>
        <v>0</v>
      </c>
      <c r="T35" s="13">
        <f ca="1">SUM($L$35:$S$35)</f>
        <v>107.06629706326594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175.17190987377086</v>
      </c>
      <c r="Z35" s="13">
        <f>'TR TUSD'!$Z$35</f>
        <v>0</v>
      </c>
      <c r="AA35" s="13">
        <f>'TR TUSD'!$AA$35</f>
        <v>0</v>
      </c>
      <c r="AB35" s="13">
        <f>SUM($U$35:$AA$35)</f>
        <v>175.17190987377086</v>
      </c>
      <c r="AC35" s="13">
        <f>'TR TUSD'!$AC$35*'TR TUSD'!$AC$60</f>
        <v>689.13979856875585</v>
      </c>
      <c r="AD35" s="13">
        <f>SUM($AC$35:$AC$35)</f>
        <v>689.13979856875585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12.916732096138359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12.916732096138359</v>
      </c>
      <c r="AM35" s="13">
        <f ca="1">SUMIF($L$4:$AL$4,"SUBTOTAL",$L$35:$AL$35)</f>
        <v>984.29473760193105</v>
      </c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1.7217149914898937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90.983335131005205</v>
      </c>
      <c r="R36" s="13">
        <f>'TR TUSD'!$R$36*'TR TUSD'!$R$60</f>
        <v>14.361246940770835</v>
      </c>
      <c r="S36" s="13">
        <f>'TR TUSD'!$S$36*'TR TUSD'!$S$60</f>
        <v>0</v>
      </c>
      <c r="T36" s="13">
        <f ca="1">SUM($L$36:$S$36)</f>
        <v>107.06629706326594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58.432644276838197</v>
      </c>
      <c r="Z36" s="13">
        <f>'TR TUSD'!$Z$36</f>
        <v>0</v>
      </c>
      <c r="AA36" s="13">
        <f>'TR TUSD'!$AA$36</f>
        <v>0</v>
      </c>
      <c r="AB36" s="13">
        <f>SUM($U$36:$AA$36)</f>
        <v>58.432644276838197</v>
      </c>
      <c r="AC36" s="13">
        <f>'TR TUSD'!$AC$36*'TR TUSD'!$AC$60</f>
        <v>229.71326618958528</v>
      </c>
      <c r="AD36" s="13">
        <f>SUM($AC$36:$AC$36)</f>
        <v>229.71326618958528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12.916732096138359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12.916732096138359</v>
      </c>
      <c r="AM36" s="13">
        <f ca="1">SUMIF($L$4:$AL$4,"SUBTOTAL",$L$36:$AL$36)</f>
        <v>408.12893962582774</v>
      </c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1.7217149914898937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90.983335131005205</v>
      </c>
      <c r="R37" s="13">
        <f>'TR TUSD'!$R$37*'TR TUSD'!$R$60</f>
        <v>14.361246940770835</v>
      </c>
      <c r="S37" s="13">
        <f>'TR TUSD'!$S$37*'TR TUSD'!$S$60</f>
        <v>0</v>
      </c>
      <c r="T37" s="13">
        <f ca="1">SUM($L$37:$S$37)</f>
        <v>107.06629706326594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99.012036348316059</v>
      </c>
      <c r="Z37" s="13">
        <f>'TR TUSD'!$Z$37</f>
        <v>0</v>
      </c>
      <c r="AA37" s="13">
        <f>'TR TUSD'!$AA$37</f>
        <v>0</v>
      </c>
      <c r="AB37" s="13">
        <f>SUM($U$37:$AA$37)</f>
        <v>99.012036348316059</v>
      </c>
      <c r="AC37" s="13">
        <f>'TR TUSD'!$AC$37*'TR TUSD'!$AC$60</f>
        <v>389.34438445820643</v>
      </c>
      <c r="AD37" s="13">
        <f>SUM($AC$37:$AC$37)</f>
        <v>389.34438445820643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12.916732096138359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12.916732096138359</v>
      </c>
      <c r="AM37" s="13">
        <f ca="1">SUMIF($L$4:$AL$4,"SUBTOTAL",$L$37:$AL$37)</f>
        <v>608.33944996592675</v>
      </c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1.7217149914898937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90.983335131005205</v>
      </c>
      <c r="R38" s="13">
        <f>'TR TUSD'!$R$38*'TR TUSD'!$R$60</f>
        <v>14.361246940770835</v>
      </c>
      <c r="S38" s="13">
        <f>'TR TUSD'!$S$38*'TR TUSD'!$S$60</f>
        <v>0</v>
      </c>
      <c r="T38" s="13">
        <f ca="1">SUM($L$38:$S$38)</f>
        <v>107.06629706326594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292.03719842744727</v>
      </c>
      <c r="Z38" s="13">
        <f>'TR TUSD'!$Z$38</f>
        <v>0</v>
      </c>
      <c r="AA38" s="13">
        <f>'TR TUSD'!$AA$38</f>
        <v>0</v>
      </c>
      <c r="AB38" s="13">
        <f>SUM($U$38:$AA$38)</f>
        <v>292.03719842744727</v>
      </c>
      <c r="AC38" s="13">
        <f>'TR TUSD'!$AC$38*'TR TUSD'!$AC$60</f>
        <v>1148.566000284412</v>
      </c>
      <c r="AD38" s="13">
        <f>SUM($AC$38:$AC$38)</f>
        <v>1148.566000284412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12.916732096138359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12.916732096138359</v>
      </c>
      <c r="AM38" s="13">
        <f ca="1">SUMIF($L$4:$AL$4,"SUBTOTAL",$L$38:$AL$38)</f>
        <v>1560.5862278712634</v>
      </c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1.7217149914898937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90.983335131005205</v>
      </c>
      <c r="R39" s="13">
        <f>'TR TUSD'!$R$39*'TR TUSD'!$R$60</f>
        <v>14.361246940770835</v>
      </c>
      <c r="S39" s="13">
        <f>'TR TUSD'!$S$39*'TR TUSD'!$S$60</f>
        <v>0</v>
      </c>
      <c r="T39" s="13">
        <f ca="1">SUM($L$39:$S$39)</f>
        <v>107.06629706326594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175.17190987377086</v>
      </c>
      <c r="Z39" s="13">
        <f>'TR TUSD'!$Z$39</f>
        <v>0</v>
      </c>
      <c r="AA39" s="13">
        <f>'TR TUSD'!$AA$39</f>
        <v>0</v>
      </c>
      <c r="AB39" s="13">
        <f>SUM($U$39:$AA$39)</f>
        <v>175.17190987377086</v>
      </c>
      <c r="AC39" s="13">
        <f>'TR TUSD'!$AC$39*'TR TUSD'!$AC$60</f>
        <v>689.13979856875585</v>
      </c>
      <c r="AD39" s="13">
        <f>SUM($AC$39:$AC$39)</f>
        <v>689.13979856875585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12.916732096138359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12.916732096138359</v>
      </c>
      <c r="AM39" s="13">
        <f ca="1">SUMIF($L$4:$AL$4,"SUBTOTAL",$L$39:$AL$39)</f>
        <v>984.29473760193105</v>
      </c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1.7217149914898937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90.983335131005205</v>
      </c>
      <c r="R40" s="13">
        <f>'TR TUSD'!$R$40*'TR TUSD'!$R$60</f>
        <v>14.361246940770835</v>
      </c>
      <c r="S40" s="13">
        <f>'TR TUSD'!$S$40*'TR TUSD'!$S$60</f>
        <v>0</v>
      </c>
      <c r="T40" s="13">
        <f ca="1">SUM($L$40:$S$40)</f>
        <v>107.06629706326594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58.432644276838197</v>
      </c>
      <c r="Z40" s="13">
        <f>'TR TUSD'!$Z$40</f>
        <v>0</v>
      </c>
      <c r="AA40" s="13">
        <f>'TR TUSD'!$AA$40</f>
        <v>0</v>
      </c>
      <c r="AB40" s="13">
        <f>SUM($U$40:$AA$40)</f>
        <v>58.432644276838197</v>
      </c>
      <c r="AC40" s="13">
        <f>'TR TUSD'!$AC$40*'TR TUSD'!$AC$60</f>
        <v>229.71326618958528</v>
      </c>
      <c r="AD40" s="13">
        <f>SUM($AC$40:$AC$40)</f>
        <v>229.71326618958528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12.916732096138359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12.916732096138359</v>
      </c>
      <c r="AM40" s="13">
        <f ca="1">SUMIF($L$4:$AL$4,"SUBTOTAL",$L$40:$AL$40)</f>
        <v>408.12893962582774</v>
      </c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1.7217149914898937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90.983335131005205</v>
      </c>
      <c r="R41" s="13">
        <f>'TR TUSD'!$R$41*'TR TUSD'!$R$60</f>
        <v>14.361246940770835</v>
      </c>
      <c r="S41" s="13">
        <f>'TR TUSD'!$S$41*'TR TUSD'!$S$60</f>
        <v>0</v>
      </c>
      <c r="T41" s="13">
        <f ca="1">SUM($L$41:$S$41)</f>
        <v>107.06629706326594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99.012036348316059</v>
      </c>
      <c r="Z41" s="13">
        <f>'TR TUSD'!$Z$41</f>
        <v>0</v>
      </c>
      <c r="AA41" s="13">
        <f>'TR TUSD'!$AA$41</f>
        <v>0</v>
      </c>
      <c r="AB41" s="13">
        <f>SUM($U$41:$AA$41)</f>
        <v>99.012036348316059</v>
      </c>
      <c r="AC41" s="13">
        <f>'TR TUSD'!$AC$41*'TR TUSD'!$AC$60</f>
        <v>389.34438445820643</v>
      </c>
      <c r="AD41" s="13">
        <f>SUM($AC$41:$AC$41)</f>
        <v>389.34438445820643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12.916732096138359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12.916732096138359</v>
      </c>
      <c r="AM41" s="13">
        <f ca="1">SUMIF($L$4:$AL$4,"SUBTOTAL",$L$41:$AL$41)</f>
        <v>608.33944996592675</v>
      </c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1.7217149914898937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90.983335131005205</v>
      </c>
      <c r="R42" s="13">
        <f>'TR TUSD'!$R$42*'TR TUSD'!$R$60</f>
        <v>14.361246940770835</v>
      </c>
      <c r="S42" s="13">
        <f>'TR TUSD'!$S$42*'TR TUSD'!$S$60</f>
        <v>0</v>
      </c>
      <c r="T42" s="13">
        <f ca="1">SUM($L$42:$S$42)</f>
        <v>107.06629706326594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99.012036348316059</v>
      </c>
      <c r="Z42" s="13">
        <f>'TR TUSD'!$Z$42</f>
        <v>0</v>
      </c>
      <c r="AA42" s="13">
        <f>'TR TUSD'!$AA$42</f>
        <v>0</v>
      </c>
      <c r="AB42" s="13">
        <f>SUM($U$42:$AA$42)</f>
        <v>99.012036348316059</v>
      </c>
      <c r="AC42" s="13">
        <f>'TR TUSD'!$AC$42*'TR TUSD'!$AC$60</f>
        <v>389.34438445820643</v>
      </c>
      <c r="AD42" s="13">
        <f>SUM($AC$42:$AC$42)</f>
        <v>389.34438445820643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12.916732096138359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12.916732096138359</v>
      </c>
      <c r="AM42" s="13">
        <f ca="1">SUMIF($L$4:$AL$4,"SUBTOTAL",$L$42:$AL$42)</f>
        <v>608.33944996592675</v>
      </c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1.7217149914898937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90.983335131005205</v>
      </c>
      <c r="R43" s="13">
        <f>'TR TUSD'!$R$43*'TR TUSD'!$R$60</f>
        <v>14.361246940770835</v>
      </c>
      <c r="S43" s="13">
        <f>'TR TUSD'!$S$43*'TR TUSD'!$S$60</f>
        <v>0</v>
      </c>
      <c r="T43" s="13">
        <f ca="1">SUM($L$43:$S$43)</f>
        <v>107.06629706326594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99.012036348316059</v>
      </c>
      <c r="Z43" s="13">
        <f>'TR TUSD'!$Z$43</f>
        <v>0</v>
      </c>
      <c r="AA43" s="13">
        <f>'TR TUSD'!$AA$43</f>
        <v>0</v>
      </c>
      <c r="AB43" s="13">
        <f>SUM($U$43:$AA$43)</f>
        <v>99.012036348316059</v>
      </c>
      <c r="AC43" s="13">
        <f>'TR TUSD'!$AC$43*'TR TUSD'!$AC$60</f>
        <v>389.34438445820643</v>
      </c>
      <c r="AD43" s="13">
        <f>SUM($AC$43:$AC$43)</f>
        <v>389.34438445820643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12.916732096138359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12.916732096138359</v>
      </c>
      <c r="AM43" s="13">
        <f ca="1">SUMIF($L$4:$AL$4,"SUBTOTAL",$L$43:$AL$43)</f>
        <v>608.33944996592675</v>
      </c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1.7217149914898937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90.983335131005205</v>
      </c>
      <c r="R44" s="13">
        <f>'TR TUSD'!$R$44*'TR TUSD'!$R$60</f>
        <v>14.361246940770835</v>
      </c>
      <c r="S44" s="13">
        <f>'TR TUSD'!$S$44*'TR TUSD'!$S$60</f>
        <v>0</v>
      </c>
      <c r="T44" s="13">
        <f ca="1">SUM($L$44:$S$44)</f>
        <v>107.06629706326594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99.012036348316059</v>
      </c>
      <c r="Z44" s="13">
        <f>'TR TUSD'!$Z$44</f>
        <v>0</v>
      </c>
      <c r="AA44" s="13">
        <f>'TR TUSD'!$AA$44</f>
        <v>0</v>
      </c>
      <c r="AB44" s="13">
        <f>SUM($U$44:$AA$44)</f>
        <v>99.012036348316059</v>
      </c>
      <c r="AC44" s="13">
        <f>'TR TUSD'!$AC$44*'TR TUSD'!$AC$60</f>
        <v>389.34438445820643</v>
      </c>
      <c r="AD44" s="13">
        <f>SUM($AC$44:$AC$44)</f>
        <v>389.34438445820643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12.916732096138359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12.916732096138359</v>
      </c>
      <c r="AM44" s="13">
        <f ca="1">SUMIF($L$4:$AL$4,"SUBTOTAL",$L$44:$AL$44)</f>
        <v>608.33944996592675</v>
      </c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>
        <f>'TR TUSD'!$L$45*'TR TUSD'!$L$60</f>
        <v>0</v>
      </c>
      <c r="M45" s="13">
        <f>'TR TUSD'!$M$45*'TR TUSD'!$M$60</f>
        <v>1.7217149914898937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90.983335131005205</v>
      </c>
      <c r="R45" s="13">
        <f>'TR TUSD'!$R$45*'TR TUSD'!$R$60</f>
        <v>14.361246940770835</v>
      </c>
      <c r="S45" s="13">
        <f>'TR TUSD'!$S$45*'TR TUSD'!$S$60</f>
        <v>0</v>
      </c>
      <c r="T45" s="13">
        <f ca="1">SUM($L$45:$S$45)</f>
        <v>107.06629706326594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336.56530981022837</v>
      </c>
      <c r="Z45" s="13">
        <f>'TR TUSD'!$Z$45</f>
        <v>0</v>
      </c>
      <c r="AA45" s="13">
        <f>'TR TUSD'!$AA$45</f>
        <v>0</v>
      </c>
      <c r="AB45" s="13">
        <f>SUM($U$45:$AA$45)</f>
        <v>336.56530981022837</v>
      </c>
      <c r="AC45" s="13">
        <f>'TR TUSD'!$AC$45*'TR TUSD'!$AC$60</f>
        <v>1323.7710394233077</v>
      </c>
      <c r="AD45" s="13">
        <f>SUM($AC$45:$AC$45)</f>
        <v>1323.7710394233077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12.916732096138359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12.916732096138359</v>
      </c>
      <c r="AM45" s="13">
        <f ca="1">SUMIF($L$4:$AL$4,"SUBTOTAL",$L$45:$AL$45)</f>
        <v>1780.3193783929403</v>
      </c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>
        <f>'TR TUSD'!$L$46*'TR TUSD'!$L$60</f>
        <v>0</v>
      </c>
      <c r="M46" s="13">
        <f>'TR TUSD'!$M$46*'TR TUSD'!$M$60</f>
        <v>1.7217149914898937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90.983335131005205</v>
      </c>
      <c r="R46" s="13">
        <f>'TR TUSD'!$R$46*'TR TUSD'!$R$60</f>
        <v>14.361246940770835</v>
      </c>
      <c r="S46" s="13">
        <f>'TR TUSD'!$S$46*'TR TUSD'!$S$60</f>
        <v>0</v>
      </c>
      <c r="T46" s="13">
        <f ca="1">SUM($L$46:$S$46)</f>
        <v>107.06629706326594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201.93078435568745</v>
      </c>
      <c r="Z46" s="13">
        <f>'TR TUSD'!$Z$46</f>
        <v>0</v>
      </c>
      <c r="AA46" s="13">
        <f>'TR TUSD'!$AA$46</f>
        <v>0</v>
      </c>
      <c r="AB46" s="13">
        <f>SUM($U$46:$AA$46)</f>
        <v>201.93078435568745</v>
      </c>
      <c r="AC46" s="13">
        <f>'TR TUSD'!$AC$46*'TR TUSD'!$AC$60</f>
        <v>794.26268978668747</v>
      </c>
      <c r="AD46" s="13">
        <f>SUM($AC$46:$AC$46)</f>
        <v>794.26268978668747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12.916732096138359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12.916732096138359</v>
      </c>
      <c r="AM46" s="13">
        <f ca="1">SUMIF($L$4:$AL$4,"SUBTOTAL",$L$46:$AL$46)</f>
        <v>1116.1765033017791</v>
      </c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>
        <f>'TR TUSD'!$L$47*'TR TUSD'!$L$60</f>
        <v>0</v>
      </c>
      <c r="M47" s="13">
        <f>'TR TUSD'!$M$47*'TR TUSD'!$M$60</f>
        <v>1.7217149914898937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90.983335131005205</v>
      </c>
      <c r="R47" s="13">
        <f>'TR TUSD'!$R$47*'TR TUSD'!$R$60</f>
        <v>14.361246940770835</v>
      </c>
      <c r="S47" s="13">
        <f>'TR TUSD'!$S$47*'TR TUSD'!$S$60</f>
        <v>0</v>
      </c>
      <c r="T47" s="13">
        <f ca="1">SUM($L$47:$S$47)</f>
        <v>107.06629706326594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67.338266553394419</v>
      </c>
      <c r="Z47" s="13">
        <f>'TR TUSD'!$Z$47</f>
        <v>0</v>
      </c>
      <c r="AA47" s="13">
        <f>'TR TUSD'!$AA$47</f>
        <v>0</v>
      </c>
      <c r="AB47" s="13">
        <f>SUM($U$47:$AA$47)</f>
        <v>67.338266553394419</v>
      </c>
      <c r="AC47" s="13">
        <f>'TR TUSD'!$AC$47*'TR TUSD'!$AC$60</f>
        <v>264.75434015006732</v>
      </c>
      <c r="AD47" s="13">
        <f>SUM($AC$47:$AC$47)</f>
        <v>264.75434015006732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12.916732096138359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12.916732096138359</v>
      </c>
      <c r="AM47" s="13">
        <f ca="1">SUMIF($L$4:$AL$4,"SUBTOTAL",$L$47:$AL$47)</f>
        <v>452.07563586286602</v>
      </c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>
        <f>'TR TUSD'!$L$48*'TR TUSD'!$L$60</f>
        <v>0</v>
      </c>
      <c r="M48" s="13">
        <f>'TR TUSD'!$M$48*'TR TUSD'!$M$60</f>
        <v>1.7217149914898937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90.983335131005205</v>
      </c>
      <c r="R48" s="13">
        <f>'TR TUSD'!$R$48*'TR TUSD'!$R$60</f>
        <v>14.361246940770835</v>
      </c>
      <c r="S48" s="13">
        <f>'TR TUSD'!$S$48*'TR TUSD'!$S$60</f>
        <v>0</v>
      </c>
      <c r="T48" s="13">
        <f ca="1">SUM($L$48:$S$48)</f>
        <v>107.06629706326594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99.012036348316059</v>
      </c>
      <c r="Z48" s="13">
        <f>'TR TUSD'!$Z$48</f>
        <v>0</v>
      </c>
      <c r="AA48" s="13">
        <f>'TR TUSD'!$AA$48</f>
        <v>0</v>
      </c>
      <c r="AB48" s="13">
        <f>SUM($U$48:$AA$48)</f>
        <v>99.012036348316059</v>
      </c>
      <c r="AC48" s="13">
        <f>'TR TUSD'!$AC$48*'TR TUSD'!$AC$60</f>
        <v>389.34438445820643</v>
      </c>
      <c r="AD48" s="13">
        <f>SUM($AC$48:$AC$48)</f>
        <v>389.34438445820643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12.916732096138359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12.916732096138359</v>
      </c>
      <c r="AM48" s="13">
        <f ca="1">SUMIF($L$4:$AL$4,"SUBTOTAL",$L$48:$AL$48)</f>
        <v>608.33944996592675</v>
      </c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1.7217149914898937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90.983335131005205</v>
      </c>
      <c r="R49" s="13">
        <f>'TR TUSD'!$R$49*'TR TUSD'!$R$60</f>
        <v>14.361246940770835</v>
      </c>
      <c r="S49" s="13">
        <f>'TR TUSD'!$S$49*'TR TUSD'!$S$60</f>
        <v>0</v>
      </c>
      <c r="T49" s="13">
        <f ca="1">SUM($L$49:$S$49)</f>
        <v>107.06629706326594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99.012036348316059</v>
      </c>
      <c r="Z49" s="13">
        <f>'TR TUSD'!$Z$49</f>
        <v>0</v>
      </c>
      <c r="AA49" s="13">
        <f>'TR TUSD'!$AA$49</f>
        <v>0</v>
      </c>
      <c r="AB49" s="13">
        <f>SUM($U$49:$AA$49)</f>
        <v>99.012036348316059</v>
      </c>
      <c r="AC49" s="13">
        <f>'TR TUSD'!$AC$49*'TR TUSD'!$AC$60</f>
        <v>389.34438445820643</v>
      </c>
      <c r="AD49" s="13">
        <f>SUM($AC$49:$AC$49)</f>
        <v>389.34438445820643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12.916732096138359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12.916732096138359</v>
      </c>
      <c r="AM49" s="13">
        <f ca="1">SUMIF($L$4:$AL$4,"SUBTOTAL",$L$49:$AL$49)</f>
        <v>608.33944996592675</v>
      </c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>
        <f>'TR TUSD'!$L$50*'TR TUSD'!$L$60</f>
        <v>0</v>
      </c>
      <c r="M50" s="13">
        <f>'TR TUSD'!$M$50*'TR TUSD'!$M$60</f>
        <v>0.94694324531944152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50.040834322052866</v>
      </c>
      <c r="R50" s="13">
        <f>'TR TUSD'!$R$50*'TR TUSD'!$R$60</f>
        <v>7.89868581742396</v>
      </c>
      <c r="S50" s="13">
        <f>'TR TUSD'!$S$50*'TR TUSD'!$S$60</f>
        <v>0</v>
      </c>
      <c r="T50" s="13">
        <f ca="1">SUM($L$50:$S$50)</f>
        <v>58.886463384796265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54.456619991573831</v>
      </c>
      <c r="Z50" s="13">
        <f>'TR TUSD'!$Z$50</f>
        <v>0</v>
      </c>
      <c r="AA50" s="13">
        <f>'TR TUSD'!$AA$50</f>
        <v>0</v>
      </c>
      <c r="AB50" s="13">
        <f>SUM($U$50:$AA$50)</f>
        <v>54.456619991573831</v>
      </c>
      <c r="AC50" s="13">
        <f>'TR TUSD'!$AC$50*'TR TUSD'!$AC$60</f>
        <v>214.13941145201355</v>
      </c>
      <c r="AD50" s="13">
        <f>SUM($AC$50:$AC$50)</f>
        <v>214.13941145201355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7.1042026528760989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7.1042026528760989</v>
      </c>
      <c r="AM50" s="13">
        <f ca="1">SUMIF($L$4:$AL$4,"SUBTOTAL",$L$50:$AL$50)</f>
        <v>334.58669748125976</v>
      </c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>
        <f>'TR TUSD'!$L$51*'TR TUSD'!$L$60</f>
        <v>0</v>
      </c>
      <c r="M51" s="13">
        <f>'TR TUSD'!$M$51*'TR TUSD'!$M$60</f>
        <v>1.0330289948939362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54.590001078603123</v>
      </c>
      <c r="R51" s="13">
        <f>'TR TUSD'!$R$51*'TR TUSD'!$R$60</f>
        <v>8.6167481644624999</v>
      </c>
      <c r="S51" s="13">
        <f>'TR TUSD'!$S$51*'TR TUSD'!$S$60</f>
        <v>0</v>
      </c>
      <c r="T51" s="13">
        <f ca="1">SUM($L$51:$S$51)</f>
        <v>64.23977823795957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59.407221808989632</v>
      </c>
      <c r="Z51" s="13">
        <f>'TR TUSD'!$Z$51</f>
        <v>0</v>
      </c>
      <c r="AA51" s="13">
        <f>'TR TUSD'!$AA$51</f>
        <v>0</v>
      </c>
      <c r="AB51" s="13">
        <f>SUM($U$51:$AA$51)</f>
        <v>59.407221808989632</v>
      </c>
      <c r="AC51" s="13">
        <f>'TR TUSD'!$AC$51*'TR TUSD'!$AC$60</f>
        <v>233.60663067492382</v>
      </c>
      <c r="AD51" s="13">
        <f>SUM($AC$51:$AC$51)</f>
        <v>233.60663067492382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7.7500392576830155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7.7500392576830155</v>
      </c>
      <c r="AM51" s="13">
        <f ca="1">SUMIF($L$4:$AL$4,"SUBTOTAL",$L$51:$AL$51)</f>
        <v>365.00366997955604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556</v>
      </c>
      <c r="L53" s="13">
        <f>SUMPRODUCT($I$5:$I51,$L$5:$L51)</f>
        <v>0</v>
      </c>
      <c r="M53" s="13">
        <f>SUMPRODUCT($I$5:$I51,$M$5:$M51)</f>
        <v>133762.3226257744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11535786.343380002</v>
      </c>
      <c r="R53" s="13">
        <f>SUMPRODUCT($I$5:$I51,$R$5:$R51)</f>
        <v>2028549.6268200006</v>
      </c>
      <c r="S53" s="13">
        <f>SUMPRODUCT($I$5:$I51,$S$5:$S51)</f>
        <v>0</v>
      </c>
      <c r="T53" s="13">
        <f ca="1">SUMPRODUCT($I$5:$I51,$T$5:$T51)</f>
        <v>13698098.292825775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11589713.29614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11589713.29614</v>
      </c>
      <c r="AC53" s="13">
        <f>SUMPRODUCT($I$5:$I51,$AC$5:$AC51)</f>
        <v>30237728.70054727</v>
      </c>
      <c r="AD53" s="13">
        <f>SUMPRODUCT($I$5:$I51,$AD$5:$AD51)</f>
        <v>30237728.70054727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1259155.8978067306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1259155.8978067306</v>
      </c>
      <c r="AM53" s="13">
        <f ca="1">SUMPRODUCT($I$5:$I51,$AM$5:$AM51)</f>
        <v>56784696.187319778</v>
      </c>
    </row>
    <row r="54" spans="1:42" ht="11.25" customHeight="1" x14ac:dyDescent="0.25">
      <c r="K54" s="16" t="s">
        <v>488</v>
      </c>
      <c r="L54" s="13">
        <f>'TR TUSD'!$L$56</f>
        <v>0</v>
      </c>
      <c r="M54" s="13">
        <f>'TR TUSD'!$M$56</f>
        <v>133762.32262577442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11535786.343379999</v>
      </c>
      <c r="R54" s="13">
        <f>'TR TUSD'!$R$56</f>
        <v>2028549.6268199999</v>
      </c>
      <c r="S54" s="13">
        <f>'TR TUSD'!$S$56</f>
        <v>0</v>
      </c>
      <c r="T54" s="13">
        <f>'TR TUSD'!$T$56</f>
        <v>13698098.292825773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11589713.29614</v>
      </c>
      <c r="Z54" s="13">
        <f>'TR TUSD'!$Z$56</f>
        <v>0</v>
      </c>
      <c r="AA54" s="13">
        <f>'TR TUSD'!$AA$56</f>
        <v>0</v>
      </c>
      <c r="AB54" s="13">
        <f>'TR TUSD'!$AB$56</f>
        <v>11589713.29614</v>
      </c>
      <c r="AC54" s="13">
        <f>'TR TUSD'!$AC$56</f>
        <v>30237728.700547267</v>
      </c>
      <c r="AD54" s="13">
        <f>'TR TUSD'!$AD$56</f>
        <v>30237728.700547267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1259155.8978067304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1259155.8978067304</v>
      </c>
      <c r="AM54" s="13">
        <f>CUSTOS!$D$29</f>
        <v>56784696.18731977</v>
      </c>
    </row>
    <row r="55" spans="1:42" ht="11.25" customHeight="1" x14ac:dyDescent="0.25">
      <c r="K55" s="16" t="s">
        <v>489</v>
      </c>
      <c r="L55" s="13">
        <f>CUSTOS!$E$2</f>
        <v>0</v>
      </c>
      <c r="M55" s="13">
        <f>CUSTOS!$E$3</f>
        <v>-3652.6782808927237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-349542.0553979844</v>
      </c>
      <c r="R55" s="13">
        <f>CUSTOS!$E$8</f>
        <v>-61869.648417803073</v>
      </c>
      <c r="S55" s="13">
        <f>CUSTOS!$E$9</f>
        <v>0</v>
      </c>
      <c r="T55" s="13">
        <f>CUSTOS!$E$10</f>
        <v>-415064.38209668017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365137.38193692808</v>
      </c>
      <c r="Z55" s="13">
        <f>CUSTOS!$E$16</f>
        <v>0</v>
      </c>
      <c r="AA55" s="13">
        <f>CUSTOS!$E$17</f>
        <v>0</v>
      </c>
      <c r="AB55" s="13">
        <f>CUSTOS!$E$18</f>
        <v>365137.38193692808</v>
      </c>
      <c r="AC55" s="13">
        <f>CUSTOS!$E$19</f>
        <v>-1327071.3845209642</v>
      </c>
      <c r="AD55" s="13">
        <f>CUSTOS!$E$20</f>
        <v>-1327071.3845209642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-89359.797349940214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-89359.797349940214</v>
      </c>
      <c r="AM55" s="13">
        <f>CUSTOS!$E$29</f>
        <v>-1466358.1820306566</v>
      </c>
    </row>
    <row r="56" spans="1:42" ht="11.25" customHeight="1" x14ac:dyDescent="0.25">
      <c r="K56" s="16" t="s">
        <v>490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557</v>
      </c>
      <c r="L58" s="13">
        <f t="shared" ref="L58:R58" si="0">IF((L53-(0))&lt;&gt;0,(L55)/(L53-(0)),0)</f>
        <v>0</v>
      </c>
      <c r="M58" s="13">
        <f t="shared" si="0"/>
        <v>-2.7307228292617104E-2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-3.0300670018786779E-2</v>
      </c>
      <c r="R58" s="13">
        <f t="shared" si="0"/>
        <v>-3.0499450247510735E-2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3.1505298932505824E-2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-4.3887932114985401E-2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-7.0968017149895576E-2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10" priority="55" operator="notEqual">
      <formula>$L$54-$L$57</formula>
    </cfRule>
    <cfRule type="cellIs" dxfId="909" priority="56" operator="equal">
      <formula>$L$54-$L$57</formula>
    </cfRule>
  </conditionalFormatting>
  <conditionalFormatting sqref="M53">
    <cfRule type="cellIs" dxfId="908" priority="53" operator="notEqual">
      <formula>$M$54-$M$57</formula>
    </cfRule>
    <cfRule type="cellIs" dxfId="907" priority="54" operator="equal">
      <formula>$M$54-$M$57</formula>
    </cfRule>
  </conditionalFormatting>
  <conditionalFormatting sqref="N53">
    <cfRule type="cellIs" dxfId="906" priority="51" operator="notEqual">
      <formula>$N$54-$N$57</formula>
    </cfRule>
    <cfRule type="cellIs" dxfId="905" priority="52" operator="equal">
      <formula>$N$54-$N$57</formula>
    </cfRule>
  </conditionalFormatting>
  <conditionalFormatting sqref="O53">
    <cfRule type="cellIs" dxfId="904" priority="49" operator="notEqual">
      <formula>$O$54-$O$57</formula>
    </cfRule>
    <cfRule type="cellIs" dxfId="903" priority="50" operator="equal">
      <formula>$O$54-$O$57</formula>
    </cfRule>
  </conditionalFormatting>
  <conditionalFormatting sqref="P53">
    <cfRule type="cellIs" dxfId="902" priority="47" operator="notEqual">
      <formula>$P$54-$P$57</formula>
    </cfRule>
    <cfRule type="cellIs" dxfId="901" priority="48" operator="equal">
      <formula>$P$54-$P$57</formula>
    </cfRule>
  </conditionalFormatting>
  <conditionalFormatting sqref="Q53">
    <cfRule type="cellIs" dxfId="900" priority="45" operator="notEqual">
      <formula>$Q$54-$Q$57</formula>
    </cfRule>
    <cfRule type="cellIs" dxfId="899" priority="46" operator="equal">
      <formula>$Q$54-$Q$57</formula>
    </cfRule>
  </conditionalFormatting>
  <conditionalFormatting sqref="R53">
    <cfRule type="cellIs" dxfId="898" priority="43" operator="notEqual">
      <formula>$R$54-$R$57</formula>
    </cfRule>
    <cfRule type="cellIs" dxfId="897" priority="44" operator="equal">
      <formula>$R$54-$R$57</formula>
    </cfRule>
  </conditionalFormatting>
  <conditionalFormatting sqref="S53">
    <cfRule type="cellIs" dxfId="896" priority="41" operator="notEqual">
      <formula>$S$54-$S$57</formula>
    </cfRule>
    <cfRule type="cellIs" dxfId="895" priority="42" operator="equal">
      <formula>$S$54-$S$57</formula>
    </cfRule>
  </conditionalFormatting>
  <conditionalFormatting sqref="T53">
    <cfRule type="cellIs" dxfId="894" priority="39" operator="notEqual">
      <formula>$T$54-$T$57</formula>
    </cfRule>
    <cfRule type="cellIs" dxfId="893" priority="40" operator="equal">
      <formula>$T$54-$T$57</formula>
    </cfRule>
  </conditionalFormatting>
  <conditionalFormatting sqref="U53">
    <cfRule type="cellIs" dxfId="892" priority="37" operator="notEqual">
      <formula>$U$54-$U$57</formula>
    </cfRule>
    <cfRule type="cellIs" dxfId="891" priority="38" operator="equal">
      <formula>$U$54-$U$57</formula>
    </cfRule>
  </conditionalFormatting>
  <conditionalFormatting sqref="V53">
    <cfRule type="cellIs" dxfId="890" priority="35" operator="notEqual">
      <formula>$V$54-$V$57</formula>
    </cfRule>
    <cfRule type="cellIs" dxfId="889" priority="36" operator="equal">
      <formula>$V$54-$V$57</formula>
    </cfRule>
  </conditionalFormatting>
  <conditionalFormatting sqref="W53">
    <cfRule type="cellIs" dxfId="888" priority="33" operator="notEqual">
      <formula>$W$54-$W$57</formula>
    </cfRule>
    <cfRule type="cellIs" dxfId="887" priority="34" operator="equal">
      <formula>$W$54-$W$57</formula>
    </cfRule>
  </conditionalFormatting>
  <conditionalFormatting sqref="X53">
    <cfRule type="cellIs" dxfId="886" priority="31" operator="notEqual">
      <formula>$X$54-$X$57</formula>
    </cfRule>
    <cfRule type="cellIs" dxfId="885" priority="32" operator="equal">
      <formula>$X$54-$X$57</formula>
    </cfRule>
  </conditionalFormatting>
  <conditionalFormatting sqref="Y53">
    <cfRule type="cellIs" dxfId="884" priority="29" operator="notEqual">
      <formula>$Y$54-$Y$57</formula>
    </cfRule>
    <cfRule type="cellIs" dxfId="883" priority="30" operator="equal">
      <formula>$Y$54-$Y$57</formula>
    </cfRule>
  </conditionalFormatting>
  <conditionalFormatting sqref="Z53">
    <cfRule type="cellIs" dxfId="882" priority="27" operator="notEqual">
      <formula>$Z$54-$Z$57</formula>
    </cfRule>
    <cfRule type="cellIs" dxfId="881" priority="28" operator="equal">
      <formula>$Z$54-$Z$57</formula>
    </cfRule>
  </conditionalFormatting>
  <conditionalFormatting sqref="AA53">
    <cfRule type="cellIs" dxfId="880" priority="25" operator="notEqual">
      <formula>$AA$54-$AA$57</formula>
    </cfRule>
    <cfRule type="cellIs" dxfId="879" priority="26" operator="equal">
      <formula>$AA$54-$AA$57</formula>
    </cfRule>
  </conditionalFormatting>
  <conditionalFormatting sqref="AB53">
    <cfRule type="cellIs" dxfId="878" priority="23" operator="notEqual">
      <formula>$AB$54-$AB$57</formula>
    </cfRule>
    <cfRule type="cellIs" dxfId="877" priority="24" operator="equal">
      <formula>$AB$54-$AB$57</formula>
    </cfRule>
  </conditionalFormatting>
  <conditionalFormatting sqref="AC53">
    <cfRule type="cellIs" dxfId="876" priority="21" operator="notEqual">
      <formula>$AC$54-$AC$57</formula>
    </cfRule>
    <cfRule type="cellIs" dxfId="875" priority="22" operator="equal">
      <formula>$AC$54-$AC$57</formula>
    </cfRule>
  </conditionalFormatting>
  <conditionalFormatting sqref="AD53">
    <cfRule type="cellIs" dxfId="874" priority="19" operator="notEqual">
      <formula>$AD$54-$AD$57</formula>
    </cfRule>
    <cfRule type="cellIs" dxfId="873" priority="20" operator="equal">
      <formula>$AD$54-$AD$57</formula>
    </cfRule>
  </conditionalFormatting>
  <conditionalFormatting sqref="AE53">
    <cfRule type="cellIs" dxfId="872" priority="17" operator="notEqual">
      <formula>$AE$54-$AE$57</formula>
    </cfRule>
    <cfRule type="cellIs" dxfId="871" priority="18" operator="equal">
      <formula>$AE$54-$AE$57</formula>
    </cfRule>
  </conditionalFormatting>
  <conditionalFormatting sqref="AF53">
    <cfRule type="cellIs" dxfId="870" priority="16" operator="equal">
      <formula>$AF$54-$AF$57</formula>
    </cfRule>
  </conditionalFormatting>
  <conditionalFormatting sqref="AF53">
    <cfRule type="cellIs" dxfId="869" priority="15" operator="notEqual">
      <formula>$AF$54-$AF$57</formula>
    </cfRule>
  </conditionalFormatting>
  <conditionalFormatting sqref="AG53">
    <cfRule type="cellIs" dxfId="868" priority="14" operator="equal">
      <formula>$AG$54-$AG$57</formula>
    </cfRule>
  </conditionalFormatting>
  <conditionalFormatting sqref="AG53">
    <cfRule type="cellIs" dxfId="867" priority="13" operator="notEqual">
      <formula>$AG$54-$AG$57</formula>
    </cfRule>
  </conditionalFormatting>
  <conditionalFormatting sqref="AH53">
    <cfRule type="cellIs" dxfId="866" priority="12" operator="equal">
      <formula>$AH$54-$AH$57</formula>
    </cfRule>
  </conditionalFormatting>
  <conditionalFormatting sqref="AH53">
    <cfRule type="cellIs" dxfId="865" priority="11" operator="notEqual">
      <formula>$AH$54-$AH$57</formula>
    </cfRule>
  </conditionalFormatting>
  <conditionalFormatting sqref="AI53">
    <cfRule type="cellIs" dxfId="864" priority="10" operator="equal">
      <formula>$AI$54-$AI$57</formula>
    </cfRule>
  </conditionalFormatting>
  <conditionalFormatting sqref="AI53">
    <cfRule type="cellIs" dxfId="863" priority="9" operator="notEqual">
      <formula>$AI$54-$AI$57</formula>
    </cfRule>
  </conditionalFormatting>
  <conditionalFormatting sqref="AJ53">
    <cfRule type="cellIs" dxfId="862" priority="8" operator="equal">
      <formula>$AJ$54-$AJ$57</formula>
    </cfRule>
  </conditionalFormatting>
  <conditionalFormatting sqref="AJ53">
    <cfRule type="cellIs" dxfId="861" priority="7" operator="notEqual">
      <formula>$AJ$54-$AJ$57</formula>
    </cfRule>
  </conditionalFormatting>
  <conditionalFormatting sqref="AK53">
    <cfRule type="cellIs" dxfId="860" priority="6" operator="equal">
      <formula>$AK$54-$AK$57</formula>
    </cfRule>
  </conditionalFormatting>
  <conditionalFormatting sqref="AK53">
    <cfRule type="cellIs" dxfId="859" priority="5" operator="notEqual">
      <formula>$AK$54-$AK$57</formula>
    </cfRule>
  </conditionalFormatting>
  <conditionalFormatting sqref="AL53">
    <cfRule type="cellIs" dxfId="858" priority="4" operator="equal">
      <formula>$AL$54-$AL$57</formula>
    </cfRule>
  </conditionalFormatting>
  <conditionalFormatting sqref="AL53">
    <cfRule type="cellIs" dxfId="857" priority="3" operator="notEqual">
      <formula>$AL$54-$AL$57</formula>
    </cfRule>
  </conditionalFormatting>
  <conditionalFormatting sqref="AM53">
    <cfRule type="cellIs" dxfId="856" priority="2" operator="equal">
      <formula>$AM$54-$AM$57</formula>
    </cfRule>
  </conditionalFormatting>
  <conditionalFormatting sqref="AM53">
    <cfRule type="cellIs" dxfId="855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B16A-3DD3-4FCB-9970-1AE459684524}">
  <dimension ref="A1:AP58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564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549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/>
      <c r="U3" s="92" t="s">
        <v>456</v>
      </c>
      <c r="V3" s="92"/>
      <c r="W3" s="92"/>
      <c r="X3" s="92"/>
      <c r="Y3" s="92"/>
      <c r="Z3" s="92"/>
      <c r="AA3" s="92"/>
      <c r="AB3" s="92"/>
      <c r="AC3" s="92" t="s">
        <v>464</v>
      </c>
      <c r="AD3" s="92"/>
      <c r="AE3" s="92" t="s">
        <v>466</v>
      </c>
      <c r="AF3" s="92"/>
      <c r="AG3" s="92"/>
      <c r="AH3" s="92" t="s">
        <v>469</v>
      </c>
      <c r="AI3" s="92"/>
      <c r="AJ3" s="92"/>
      <c r="AK3" s="92"/>
      <c r="AL3" s="92"/>
      <c r="AM3" s="92" t="s">
        <v>455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455</v>
      </c>
      <c r="U4" s="10" t="s">
        <v>457</v>
      </c>
      <c r="V4" s="10" t="s">
        <v>458</v>
      </c>
      <c r="W4" s="10" t="s">
        <v>459</v>
      </c>
      <c r="X4" s="10" t="s">
        <v>460</v>
      </c>
      <c r="Y4" s="10" t="s">
        <v>461</v>
      </c>
      <c r="Z4" s="10" t="s">
        <v>462</v>
      </c>
      <c r="AA4" s="10" t="s">
        <v>463</v>
      </c>
      <c r="AB4" s="10" t="s">
        <v>455</v>
      </c>
      <c r="AC4" s="10" t="s">
        <v>465</v>
      </c>
      <c r="AD4" s="10" t="s">
        <v>455</v>
      </c>
      <c r="AE4" s="10" t="s">
        <v>467</v>
      </c>
      <c r="AF4" s="10" t="s">
        <v>468</v>
      </c>
      <c r="AG4" s="10" t="s">
        <v>455</v>
      </c>
      <c r="AH4" s="10" t="s">
        <v>470</v>
      </c>
      <c r="AI4" s="10" t="s">
        <v>471</v>
      </c>
      <c r="AJ4" s="10" t="s">
        <v>472</v>
      </c>
      <c r="AK4" s="10" t="s">
        <v>473</v>
      </c>
      <c r="AL4" s="10" t="s">
        <v>455</v>
      </c>
      <c r="AM4" s="94"/>
      <c r="AO4" s="27" t="s">
        <v>566</v>
      </c>
      <c r="AP4" s="98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0.9012787398771972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0.9012787398771972</v>
      </c>
      <c r="AC5" s="13">
        <f>'TUSD BE'!$AC$5*'TUSD BE'!$AC$58</f>
        <v>-3.4777032332362787</v>
      </c>
      <c r="AD5" s="13">
        <f>SUM($AC$5:$AC$5)</f>
        <v>-3.4777032332362787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-2.5764244933590814</v>
      </c>
      <c r="AO5" s="26">
        <f ca="1">+'TUSD BE'!$T$5+'TUSD BE'!$AB$5+'TUSD BE'!$AD$5+'TUSD BE'!$AL$5</f>
        <v>107.84774646338855</v>
      </c>
      <c r="AP5" s="26">
        <f ca="1">+'TUSD BE'!$T$5+'TUSD BE'!$AB$5+'TUSD BE'!$AD$5+'TUSD BE'!$AL$5</f>
        <v>107.84774646338855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0.51879774747703566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0.51879774747703566</v>
      </c>
      <c r="AC6" s="13">
        <f>'TUSD BE'!$AC$6*'TUSD BE'!$AC$58</f>
        <v>-0.95183661128410535</v>
      </c>
      <c r="AD6" s="13">
        <f>SUM($AC$6:$AC$6)</f>
        <v>-0.95183661128410535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-0.43303886380706968</v>
      </c>
      <c r="AO6" s="26">
        <f ca="1">+'TUSD BE'!$T$6+'TUSD BE'!$AB$6+'TUSD BE'!$AD$6+'TUSD BE'!$AL$6</f>
        <v>38.154888934888497</v>
      </c>
      <c r="AP6" s="26">
        <f ca="1">+'TUSD BE'!$T$6+'TUSD BE'!$AB$6+'TUSD BE'!$AD$6+'TUSD BE'!$AL$6</f>
        <v>38.154888934888497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>
        <f>'TUSD BE'!$L$7*'TUSD BE'!$L$58</f>
        <v>0</v>
      </c>
      <c r="M7" s="13">
        <f>'TUSD BE'!$M$7*'TUSD BE'!$M$58</f>
        <v>-1.3259407929372524E-2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-2.3157590526111544</v>
      </c>
      <c r="R7" s="13">
        <f>'TUSD BE'!$R$7*'TUSD BE'!$R$58</f>
        <v>-0.43801013656225585</v>
      </c>
      <c r="S7" s="13">
        <f>'TUSD BE'!$R$7*'TUSD BE'!$S$58</f>
        <v>0</v>
      </c>
      <c r="T7" s="13">
        <f ca="1">SUM($L$7:$S$7)</f>
        <v>-2.767028597102783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-0.45924510902217119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-0.45924510902217119</v>
      </c>
      <c r="AM7" s="13">
        <f ca="1">SUMIF($L$4:$AL$4,"SUBTOTAL",$L$7:$AL$7)</f>
        <v>-3.226273706124954</v>
      </c>
      <c r="AO7" s="26">
        <f ca="1">+'TUSD BE'!$T$7+'TUSD BE'!$AB$7+'TUSD BE'!$AD$7+'TUSD BE'!$AL$7</f>
        <v>97.743968471293215</v>
      </c>
      <c r="AP7" s="26">
        <f ca="1">+'TUSD BE'!$T$7+'TUSD BE'!$AB$7+'TUSD BE'!$AD$7+'TUSD BE'!$AL$7</f>
        <v>97.743968471293215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-1.3259407929372524E-2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-1.3259407929372524E-2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-0.45924510902217119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-0.45924510902217119</v>
      </c>
      <c r="AM8" s="13">
        <f ca="1">SUMIF($L$4:$AL$4,"SUBTOTAL",$L$8:$AL$8)</f>
        <v>-0.47250451695154372</v>
      </c>
      <c r="AO8" s="26">
        <f ca="1">+'TUSD BE'!$T$8+'TUSD BE'!$AB$8+'TUSD BE'!$AD$8+'TUSD BE'!$AL$8</f>
        <v>6.9567200204779951</v>
      </c>
      <c r="AP8" s="26">
        <f ca="1">+'TUSD BE'!$T$8+'TUSD BE'!$AB$8+'TUSD BE'!$AD$8+'TUSD BE'!$AL$8</f>
        <v>6.9567200204779951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'TUSD BE'!$L$9*'TUSD BE'!$L$58</f>
        <v>0</v>
      </c>
      <c r="M9" s="13">
        <f>'TUSD BE'!$M$9*'TUSD BE'!$M$58</f>
        <v>-3.2900101873539972E-4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-3.2900101873539972E-4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-0.53124583130215797</v>
      </c>
      <c r="AD9" s="13">
        <f>SUM($AC$9:$AC$9)</f>
        <v>-0.53124583130215797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-0.53157483232089342</v>
      </c>
      <c r="AO9" s="26">
        <f ca="1">+'TUSD BE'!$T$9+'TUSD BE'!$AB$9+'TUSD BE'!$AD$9+'TUSD BE'!$AL$9</f>
        <v>12.116647405306496</v>
      </c>
      <c r="AP9" s="26">
        <f ca="1">+'TUSD BE'!$T$9+'TUSD BE'!$AB$9+'TUSD BE'!$AD$9+'TUSD BE'!$AL$9</f>
        <v>12.116647405306496</v>
      </c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0.51879774747703566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0.51879774747703566</v>
      </c>
      <c r="AC10" s="13">
        <f>'TUSD BE'!$AC$10*'TUSD BE'!$AC$58</f>
        <v>-0.95183661128410535</v>
      </c>
      <c r="AD10" s="13">
        <f>SUM($AC$10:$AC$10)</f>
        <v>-0.95183661128410535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-0.43303886380706968</v>
      </c>
      <c r="AO10" s="26">
        <f ca="1">+'TUSD BE'!$T$10+'TUSD BE'!$AB$10+'TUSD BE'!$AD$10+'TUSD BE'!$AL$10</f>
        <v>38.154888934888497</v>
      </c>
      <c r="AP10" s="26">
        <f ca="1">+'TUSD BE'!$T$10+'TUSD BE'!$AB$10+'TUSD BE'!$AD$10+'TUSD BE'!$AL$10</f>
        <v>38.154888934888497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>
        <f>'TUSD BE'!$L$11*'TUSD BE'!$L$58</f>
        <v>0</v>
      </c>
      <c r="M11" s="13">
        <f>'TUSD BE'!$M$11*'TUSD BE'!$M$58</f>
        <v>-1.3259407929372524E-2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-2.3157590526111544</v>
      </c>
      <c r="R11" s="13">
        <f>'TUSD BE'!$R$11*'TUSD BE'!$R$58</f>
        <v>-0.43801013656225585</v>
      </c>
      <c r="S11" s="13">
        <f>'TUSD BE'!$R$11*'TUSD BE'!$S$58</f>
        <v>0</v>
      </c>
      <c r="T11" s="13">
        <f ca="1">SUM($L$11:$S$11)</f>
        <v>-2.767028597102783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21.687598693638225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21.687598693638225</v>
      </c>
      <c r="AC11" s="13">
        <f>'TUSD BE'!$AC$11*'TUSD BE'!$AC$58</f>
        <v>-83.638703985174089</v>
      </c>
      <c r="AD11" s="13">
        <f>SUM($AC$11:$AC$11)</f>
        <v>-83.638703985174089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-0.45924510902217119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-0.45924510902217119</v>
      </c>
      <c r="AM11" s="13">
        <f ca="1">SUMIF($L$4:$AL$4,"SUBTOTAL",$L$11:$AL$11)</f>
        <v>-65.177378997660824</v>
      </c>
      <c r="AO11" s="26">
        <f ca="1">+'TUSD BE'!$T$11+'TUSD BE'!$AB$11+'TUSD BE'!$AD$11+'TUSD BE'!$AL$11</f>
        <v>2691.8569002161721</v>
      </c>
      <c r="AP11" s="26">
        <f ca="1">+'TUSD BE'!$T$11+'TUSD BE'!$AB$11+'TUSD BE'!$AD$11+'TUSD BE'!$AL$11</f>
        <v>2691.8569002161721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>
        <f>'TUSD BE'!$L$12*'TUSD BE'!$L$58</f>
        <v>0</v>
      </c>
      <c r="M12" s="13">
        <f>'TUSD BE'!$M$12*'TUSD BE'!$M$58</f>
        <v>-1.3259407929372524E-2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-2.3157590526111544</v>
      </c>
      <c r="R12" s="13">
        <f>'TUSD BE'!$R$12*'TUSD BE'!$R$58</f>
        <v>-0.43801013656225585</v>
      </c>
      <c r="S12" s="13">
        <f>'TUSD BE'!$R$12*'TUSD BE'!$S$58</f>
        <v>0</v>
      </c>
      <c r="T12" s="13">
        <f ca="1">SUM($L$12:$S$12)</f>
        <v>-2.767028597102783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-0.45924510902217119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-0.45924510902217119</v>
      </c>
      <c r="AM12" s="13">
        <f ca="1">SUMIF($L$4:$AL$4,"SUBTOTAL",$L$12:$AL$12)</f>
        <v>-3.226273706124954</v>
      </c>
      <c r="AO12" s="26">
        <f ca="1">+'TUSD BE'!$T$12+'TUSD BE'!$AB$12+'TUSD BE'!$AD$12+'TUSD BE'!$AL$12</f>
        <v>97.743968471293215</v>
      </c>
      <c r="AP12" s="26">
        <f ca="1">+'TUSD BE'!$T$12+'TUSD BE'!$AB$12+'TUSD BE'!$AD$12+'TUSD BE'!$AL$12</f>
        <v>97.743968471293215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-1.3259407929372524E-2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-1.3259407929372524E-2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21.687598693638225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21.687598693638225</v>
      </c>
      <c r="AC13" s="13">
        <f>'TUSD BE'!$AC$13*'TUSD BE'!$AC$58</f>
        <v>-83.638703985174089</v>
      </c>
      <c r="AD13" s="13">
        <f>SUM($AC$13:$AC$13)</f>
        <v>-83.638703985174089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-0.45924510902217119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-0.45924510902217119</v>
      </c>
      <c r="AM13" s="13">
        <f ca="1">SUMIF($L$4:$AL$4,"SUBTOTAL",$L$13:$AL$13)</f>
        <v>-62.423609808487406</v>
      </c>
      <c r="AO13" s="26">
        <f ca="1">+'TUSD BE'!$T$13+'TUSD BE'!$AB$13+'TUSD BE'!$AD$13+'TUSD BE'!$AL$13</f>
        <v>2601.0696517653569</v>
      </c>
      <c r="AP13" s="26">
        <f ca="1">+'TUSD BE'!$T$13+'TUSD BE'!$AB$13+'TUSD BE'!$AD$13+'TUSD BE'!$AL$13</f>
        <v>2601.0696517653569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-1.3259407929372524E-2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-1.3259407929372524E-2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-0.45924510902217119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-0.45924510902217119</v>
      </c>
      <c r="AM14" s="13">
        <f ca="1">SUMIF($L$4:$AL$4,"SUBTOTAL",$L$14:$AL$14)</f>
        <v>-0.47250451695154372</v>
      </c>
      <c r="AO14" s="26">
        <f ca="1">+'TUSD BE'!$T$14+'TUSD BE'!$AB$14+'TUSD BE'!$AD$14+'TUSD BE'!$AL$14</f>
        <v>6.9567200204779951</v>
      </c>
      <c r="AP14" s="26">
        <f ca="1">+'TUSD BE'!$T$14+'TUSD BE'!$AB$14+'TUSD BE'!$AD$14+'TUSD BE'!$AL$14</f>
        <v>6.9567200204779951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-1.884022927801007E-4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-1.884022927801007E-4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-0.30516123529985462</v>
      </c>
      <c r="AD15" s="13">
        <f>SUM($AC$15:$AC$15)</f>
        <v>-0.30516123529985462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-0.30534963759263473</v>
      </c>
      <c r="AO15" s="26">
        <f ca="1">+'TUSD BE'!$T$15+'TUSD BE'!$AB$15+'TUSD BE'!$AD$15+'TUSD BE'!$AL$15</f>
        <v>6.9600917394057449</v>
      </c>
      <c r="AP15" s="26">
        <f ca="1">+'TUSD BE'!$T$15+'TUSD BE'!$AB$15+'TUSD BE'!$AD$15+'TUSD BE'!$AL$15</f>
        <v>6.9600917394057449</v>
      </c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-1.884022927801007E-4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-1.884022927801007E-4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-0.90831470978780215</v>
      </c>
      <c r="AD16" s="13">
        <f>SUM($AC$16:$AC$16)</f>
        <v>-0.90831470978780215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-0.90850311208058221</v>
      </c>
      <c r="AO16" s="26">
        <f ca="1">+'TUSD BE'!$T$16+'TUSD BE'!$AB$16+'TUSD BE'!$AD$16+'TUSD BE'!$AL$16</f>
        <v>20.703128729795242</v>
      </c>
      <c r="AP16" s="26">
        <f ca="1">+'TUSD BE'!$T$16+'TUSD BE'!$AB$16+'TUSD BE'!$AD$16+'TUSD BE'!$AL$16</f>
        <v>20.703128729795242</v>
      </c>
    </row>
    <row r="17" spans="1:42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-4.7015264327435843E-2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-2.7568560150132795</v>
      </c>
      <c r="R17" s="13">
        <f>'TUSD BE'!$R$17*'TUSD BE'!$R$58</f>
        <v>-0.43801013656225585</v>
      </c>
      <c r="S17" s="13">
        <f>'TUSD BE'!$R$17*'TUSD BE'!$S$58</f>
        <v>0</v>
      </c>
      <c r="T17" s="13">
        <f ca="1">SUM($L$17:$S$17)</f>
        <v>-3.2418814159029714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8.4198756873696468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8.4198756873696468</v>
      </c>
      <c r="AC17" s="13">
        <f>'TUSD BE'!$AC$17*'TUSD BE'!$AC$58</f>
        <v>-46.136306671449432</v>
      </c>
      <c r="AD17" s="13">
        <f>SUM($AC$17:$AC$17)</f>
        <v>-46.136306671449432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-0.91667486491935368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-0.91667486491935368</v>
      </c>
      <c r="AM17" s="13">
        <f ca="1">SUMIF($L$4:$AL$4,"SUBTOTAL",$L$17:$AL$17)</f>
        <v>-41.87498726490211</v>
      </c>
      <c r="AO17" s="26">
        <f ca="1">+'TUSD BE'!$T$17+'TUSD BE'!$AB$17+'TUSD BE'!$AD$17+'TUSD BE'!$AL$17</f>
        <v>1438.4656169304467</v>
      </c>
      <c r="AP17" s="26">
        <f ca="1">+'TUSD BE'!$T$17+'TUSD BE'!$AB$17+'TUSD BE'!$AD$17+'TUSD BE'!$AL$17</f>
        <v>1438.4656169304467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-4.7015264327435843E-2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-2.7568560150132795</v>
      </c>
      <c r="R18" s="13">
        <f>'TUSD BE'!$R$18*'TUSD BE'!$R$58</f>
        <v>-0.43801013656225585</v>
      </c>
      <c r="S18" s="13">
        <f>'TUSD BE'!$R$18*'TUSD BE'!$S$58</f>
        <v>0</v>
      </c>
      <c r="T18" s="13">
        <f ca="1">SUM($L$18:$S$18)</f>
        <v>-3.2418814159029714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5.0529841833350062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5.0529841833350062</v>
      </c>
      <c r="AC18" s="13">
        <f>'TUSD BE'!$AC$18*'TUSD BE'!$AC$58</f>
        <v>-27.681786905297237</v>
      </c>
      <c r="AD18" s="13">
        <f>SUM($AC$18:$AC$18)</f>
        <v>-27.681786905297237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-0.91667486491935368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-0.91667486491935368</v>
      </c>
      <c r="AM18" s="13">
        <f ca="1">SUMIF($L$4:$AL$4,"SUBTOTAL",$L$18:$AL$18)</f>
        <v>-26.787359002784555</v>
      </c>
      <c r="AO18" s="26">
        <f ca="1">+'TUSD BE'!$T$18+'TUSD BE'!$AB$18+'TUSD BE'!$AD$18+'TUSD BE'!$AL$18</f>
        <v>911.10625407653117</v>
      </c>
      <c r="AP18" s="26">
        <f ca="1">+'TUSD BE'!$T$18+'TUSD BE'!$AB$18+'TUSD BE'!$AD$18+'TUSD BE'!$AL$18</f>
        <v>911.10625407653117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-4.7015264327435843E-2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-2.7568560150132795</v>
      </c>
      <c r="R19" s="13">
        <f>'TUSD BE'!$R$19*'TUSD BE'!$R$58</f>
        <v>-0.43801013656225585</v>
      </c>
      <c r="S19" s="13">
        <f>'TUSD BE'!$R$19*'TUSD BE'!$S$58</f>
        <v>0</v>
      </c>
      <c r="T19" s="13">
        <f ca="1">SUM($L$19:$S$19)</f>
        <v>-3.2418814159029714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1.6847692156588432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1.6847692156588432</v>
      </c>
      <c r="AC19" s="13">
        <f>'TUSD BE'!$AC$19*'TUSD BE'!$AC$58</f>
        <v>-9.2272526270071591</v>
      </c>
      <c r="AD19" s="13">
        <f>SUM($AC$19:$AC$19)</f>
        <v>-9.2272526270071591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-0.91667486491935368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-0.91667486491935368</v>
      </c>
      <c r="AM19" s="13">
        <f ca="1">SUMIF($L$4:$AL$4,"SUBTOTAL",$L$19:$AL$19)</f>
        <v>-11.701039692170642</v>
      </c>
      <c r="AO19" s="26">
        <f ca="1">+'TUSD BE'!$T$19+'TUSD BE'!$AB$19+'TUSD BE'!$AD$19+'TUSD BE'!$AL$19</f>
        <v>383.70455290685283</v>
      </c>
      <c r="AP19" s="26">
        <f ca="1">+'TUSD BE'!$T$19+'TUSD BE'!$AB$19+'TUSD BE'!$AD$19+'TUSD BE'!$AL$19</f>
        <v>383.70455290685283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>
        <f>'TUSD BE'!$L$20*'TUSD BE'!$L$58</f>
        <v>0</v>
      </c>
      <c r="M20" s="13">
        <f>'TUSD BE'!$M$20*'TUSD BE'!$M$58</f>
        <v>-4.7015264327435843E-2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-2.7568560150132795</v>
      </c>
      <c r="R20" s="13">
        <f>'TUSD BE'!$R$20*'TUSD BE'!$R$58</f>
        <v>-0.43801013656225585</v>
      </c>
      <c r="S20" s="13">
        <f>'TUSD BE'!$R$20*'TUSD BE'!$S$58</f>
        <v>0</v>
      </c>
      <c r="T20" s="13">
        <f ca="1">SUM($L$20:$S$20)</f>
        <v>-3.2418814159029714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3.1194038030698299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3.1194038030698299</v>
      </c>
      <c r="AC20" s="13">
        <f>'TUSD BE'!$AC$20*'TUSD BE'!$AC$58</f>
        <v>-17.087519914452542</v>
      </c>
      <c r="AD20" s="13">
        <f>SUM($AC$20:$AC$20)</f>
        <v>-17.087519914452542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-0.91667486491935368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-0.91667486491935368</v>
      </c>
      <c r="AM20" s="13">
        <f ca="1">SUMIF($L$4:$AL$4,"SUBTOTAL",$L$20:$AL$20)</f>
        <v>-18.126672392205037</v>
      </c>
      <c r="AO20" s="26">
        <f ca="1">+'TUSD BE'!$T$20+'TUSD BE'!$AB$20+'TUSD BE'!$AD$20+'TUSD BE'!$AL$20</f>
        <v>608.33944996592675</v>
      </c>
      <c r="AP20" s="26">
        <f ca="1">+'TUSD BE'!$T$20+'TUSD BE'!$AB$20+'TUSD BE'!$AD$20+'TUSD BE'!$AL$20</f>
        <v>608.33944996592675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>
        <f>'TUSD BE'!$L$21*'TUSD BE'!$L$58</f>
        <v>0</v>
      </c>
      <c r="M21" s="13">
        <f>'TUSD BE'!$M$21*'TUSD BE'!$M$58</f>
        <v>-4.7015264327435843E-2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-4.7015264327435843E-2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3.1194038030698299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3.1194038030698299</v>
      </c>
      <c r="AC21" s="13">
        <f>'TUSD BE'!$AC$21*'TUSD BE'!$AC$58</f>
        <v>-17.087519914452542</v>
      </c>
      <c r="AD21" s="13">
        <f>SUM($AC$21:$AC$21)</f>
        <v>-17.087519914452542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-0.91667486491935368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-0.91667486491935368</v>
      </c>
      <c r="AM21" s="13">
        <f ca="1">SUMIF($L$4:$AL$4,"SUBTOTAL",$L$21:$AL$21)</f>
        <v>-14.931806240629502</v>
      </c>
      <c r="AO21" s="26">
        <f ca="1">+'TUSD BE'!$T$21+'TUSD BE'!$AB$21+'TUSD BE'!$AD$21+'TUSD BE'!$AL$21</f>
        <v>502.99486789415073</v>
      </c>
      <c r="AP21" s="26">
        <f ca="1">+'TUSD BE'!$T$21+'TUSD BE'!$AB$21+'TUSD BE'!$AD$21+'TUSD BE'!$AL$21</f>
        <v>502.99486789415073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>
        <f>'TUSD BE'!$L$22*'TUSD BE'!$L$58</f>
        <v>0</v>
      </c>
      <c r="M22" s="13">
        <f>'TUSD BE'!$M$22*'TUSD BE'!$M$58</f>
        <v>-4.7015264327435843E-2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-4.7015264327435843E-2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3.1194038030698299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3.1194038030698299</v>
      </c>
      <c r="AC22" s="13">
        <f>'TUSD BE'!$AC$22*'TUSD BE'!$AC$58</f>
        <v>-17.087519914452542</v>
      </c>
      <c r="AD22" s="13">
        <f>SUM($AC$22:$AC$22)</f>
        <v>-17.087519914452542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-0.91667486491935368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-0.91667486491935368</v>
      </c>
      <c r="AM22" s="13">
        <f ca="1">SUMIF($L$4:$AL$4,"SUBTOTAL",$L$22:$AL$22)</f>
        <v>-14.931806240629502</v>
      </c>
      <c r="AO22" s="26">
        <f ca="1">+'TUSD BE'!$T$22+'TUSD BE'!$AB$22+'TUSD BE'!$AD$22+'TUSD BE'!$AL$22</f>
        <v>502.99486789415073</v>
      </c>
      <c r="AP22" s="26">
        <f ca="1">+'TUSD BE'!$T$22+'TUSD BE'!$AB$22+'TUSD BE'!$AD$22+'TUSD BE'!$AL$22</f>
        <v>502.99486789415073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>
        <f>'TUSD BE'!$L$23*'TUSD BE'!$L$58</f>
        <v>0</v>
      </c>
      <c r="M23" s="13">
        <f>'TUSD BE'!$M$23*'TUSD BE'!$M$58</f>
        <v>-4.7015264327435843E-2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-4.7015264327435843E-2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3.1194038030698299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3.1194038030698299</v>
      </c>
      <c r="AC23" s="13">
        <f>'TUSD BE'!$AC$23*'TUSD BE'!$AC$58</f>
        <v>-17.087519914452542</v>
      </c>
      <c r="AD23" s="13">
        <f>SUM($AC$23:$AC$23)</f>
        <v>-17.087519914452542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-0.91667486491935368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-0.91667486491935368</v>
      </c>
      <c r="AM23" s="13">
        <f ca="1">SUMIF($L$4:$AL$4,"SUBTOTAL",$L$23:$AL$23)</f>
        <v>-14.931806240629502</v>
      </c>
      <c r="AO23" s="26">
        <f ca="1">+'TUSD BE'!$T$23+'TUSD BE'!$AB$23+'TUSD BE'!$AD$23+'TUSD BE'!$AL$23</f>
        <v>502.99486789415073</v>
      </c>
      <c r="AP23" s="26">
        <f ca="1">+'TUSD BE'!$T$23+'TUSD BE'!$AB$23+'TUSD BE'!$AD$23+'TUSD BE'!$AL$23</f>
        <v>502.99486789415073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>
        <f>'TUSD BE'!$L$24*'TUSD BE'!$L$58</f>
        <v>0</v>
      </c>
      <c r="M24" s="13">
        <f>'TUSD BE'!$M$24*'TUSD BE'!$M$58</f>
        <v>-4.7015264327435843E-2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-4.7015264327435843E-2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3.1194038030698299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3.1194038030698299</v>
      </c>
      <c r="AC24" s="13">
        <f>'TUSD BE'!$AC$24*'TUSD BE'!$AC$58</f>
        <v>-17.087519914452542</v>
      </c>
      <c r="AD24" s="13">
        <f>SUM($AC$24:$AC$24)</f>
        <v>-17.087519914452542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-0.91667486491935368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-0.91667486491935368</v>
      </c>
      <c r="AM24" s="13">
        <f ca="1">SUMIF($L$4:$AL$4,"SUBTOTAL",$L$24:$AL$24)</f>
        <v>-14.931806240629502</v>
      </c>
      <c r="AO24" s="26">
        <f ca="1">+'TUSD BE'!$T$24+'TUSD BE'!$AB$24+'TUSD BE'!$AD$24+'TUSD BE'!$AL$24</f>
        <v>502.99486789415073</v>
      </c>
      <c r="AP24" s="26">
        <f ca="1">+'TUSD BE'!$T$24+'TUSD BE'!$AB$24+'TUSD BE'!$AD$24+'TUSD BE'!$AL$24</f>
        <v>502.99486789415073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-4.7015264327435843E-2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-2.7568560150132795</v>
      </c>
      <c r="R25" s="13">
        <f>'TUSD BE'!$R$25*'TUSD BE'!$R$58</f>
        <v>-0.43801013656225585</v>
      </c>
      <c r="S25" s="13">
        <f>'TUSD BE'!$R$25*'TUSD BE'!$S$58</f>
        <v>0</v>
      </c>
      <c r="T25" s="13">
        <f ca="1">SUM($L$25:$S$25)</f>
        <v>-3.2418814159029714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3.1194038030698299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3.1194038030698299</v>
      </c>
      <c r="AC25" s="13">
        <f>'TUSD BE'!$AC$25*'TUSD BE'!$AC$58</f>
        <v>-17.087519914452542</v>
      </c>
      <c r="AD25" s="13">
        <f>SUM($AC$25:$AC$25)</f>
        <v>-17.087519914452542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-0.91667486491935368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-0.91667486491935368</v>
      </c>
      <c r="AM25" s="13">
        <f ca="1">SUMIF($L$4:$AL$4,"SUBTOTAL",$L$25:$AL$25)</f>
        <v>-18.126672392205037</v>
      </c>
      <c r="AO25" s="26">
        <f ca="1">+'TUSD BE'!$T$25+'TUSD BE'!$AB$25+'TUSD BE'!$AD$25+'TUSD BE'!$AL$25</f>
        <v>608.33944996592675</v>
      </c>
      <c r="AP25" s="26">
        <f ca="1">+'TUSD BE'!$T$25+'TUSD BE'!$AB$25+'TUSD BE'!$AD$25+'TUSD BE'!$AL$25</f>
        <v>608.33944996592675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-4.7015264327435843E-2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-4.7015264327435843E-2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3.1194038030698299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3.1194038030698299</v>
      </c>
      <c r="AC26" s="13">
        <f>'TUSD BE'!$AC$26*'TUSD BE'!$AC$58</f>
        <v>-17.087519914452542</v>
      </c>
      <c r="AD26" s="13">
        <f>SUM($AC$26:$AC$26)</f>
        <v>-17.087519914452542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-0.91667486491935368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-0.91667486491935368</v>
      </c>
      <c r="AM26" s="13">
        <f ca="1">SUMIF($L$4:$AL$4,"SUBTOTAL",$L$26:$AL$26)</f>
        <v>-14.931806240629502</v>
      </c>
      <c r="AO26" s="26">
        <f ca="1">+'TUSD BE'!$T$26+'TUSD BE'!$AB$26+'TUSD BE'!$AD$26+'TUSD BE'!$AL$26</f>
        <v>502.99486789415073</v>
      </c>
      <c r="AP26" s="26">
        <f ca="1">+'TUSD BE'!$T$26+'TUSD BE'!$AB$26+'TUSD BE'!$AD$26+'TUSD BE'!$AL$26</f>
        <v>502.99486789415073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-4.7015264327435843E-2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-4.7015264327435843E-2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3.1194038030698299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3.1194038030698299</v>
      </c>
      <c r="AC27" s="13">
        <f>'TUSD BE'!$AC$27*'TUSD BE'!$AC$58</f>
        <v>-17.087519914452542</v>
      </c>
      <c r="AD27" s="13">
        <f>SUM($AC$27:$AC$27)</f>
        <v>-17.087519914452542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-0.91667486491935368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-0.91667486491935368</v>
      </c>
      <c r="AM27" s="13">
        <f ca="1">SUMIF($L$4:$AL$4,"SUBTOTAL",$L$27:$AL$27)</f>
        <v>-14.931806240629502</v>
      </c>
      <c r="AO27" s="26">
        <f ca="1">+'TUSD BE'!$T$27+'TUSD BE'!$AB$27+'TUSD BE'!$AD$27+'TUSD BE'!$AL$27</f>
        <v>502.99486789415073</v>
      </c>
      <c r="AP27" s="26">
        <f ca="1">+'TUSD BE'!$T$27+'TUSD BE'!$AB$27+'TUSD BE'!$AD$27+'TUSD BE'!$AL$27</f>
        <v>502.99486789415073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-4.7015264327435843E-2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-4.7015264327435843E-2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3.1194038030698299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3.1194038030698299</v>
      </c>
      <c r="AC28" s="13">
        <f>'TUSD BE'!$AC$28*'TUSD BE'!$AC$58</f>
        <v>-17.087519914452542</v>
      </c>
      <c r="AD28" s="13">
        <f>SUM($AC$28:$AC$28)</f>
        <v>-17.087519914452542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-0.91667486491935368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-0.91667486491935368</v>
      </c>
      <c r="AM28" s="13">
        <f ca="1">SUMIF($L$4:$AL$4,"SUBTOTAL",$L$28:$AL$28)</f>
        <v>-14.931806240629502</v>
      </c>
      <c r="AO28" s="26">
        <f ca="1">+'TUSD BE'!$T$28+'TUSD BE'!$AB$28+'TUSD BE'!$AD$28+'TUSD BE'!$AL$28</f>
        <v>502.99486789415073</v>
      </c>
      <c r="AP28" s="26">
        <f ca="1">+'TUSD BE'!$T$28+'TUSD BE'!$AB$28+'TUSD BE'!$AD$28+'TUSD BE'!$AL$28</f>
        <v>502.99486789415073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-4.7015264327435843E-2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-4.7015264327435843E-2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3.1194038030698299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3.1194038030698299</v>
      </c>
      <c r="AC29" s="13">
        <f>'TUSD BE'!$AC$29*'TUSD BE'!$AC$58</f>
        <v>-17.087519914452542</v>
      </c>
      <c r="AD29" s="13">
        <f>SUM($AC$29:$AC$29)</f>
        <v>-17.087519914452542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-0.91667486491935368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-0.91667486491935368</v>
      </c>
      <c r="AM29" s="13">
        <f ca="1">SUMIF($L$4:$AL$4,"SUBTOTAL",$L$29:$AL$29)</f>
        <v>-14.931806240629502</v>
      </c>
      <c r="AO29" s="26">
        <f ca="1">+'TUSD BE'!$T$29+'TUSD BE'!$AB$29+'TUSD BE'!$AD$29+'TUSD BE'!$AL$29</f>
        <v>502.99486789415073</v>
      </c>
      <c r="AP29" s="26">
        <f ca="1">+'TUSD BE'!$T$29+'TUSD BE'!$AB$29+'TUSD BE'!$AD$29+'TUSD BE'!$AL$29</f>
        <v>502.99486789415073</v>
      </c>
    </row>
    <row r="30" spans="1:42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'TUSD BE'!$L$30*'TUSD BE'!$L$58</f>
        <v>0</v>
      </c>
      <c r="M30" s="13">
        <f>'TUSD BE'!$M$30*'TUSD BE'!$M$58</f>
        <v>-4.7015264327435843E-2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-2.7568560150132795</v>
      </c>
      <c r="R30" s="13">
        <f>'TUSD BE'!$R$30*'TUSD BE'!$R$58</f>
        <v>-0.43801013656225585</v>
      </c>
      <c r="S30" s="13">
        <f>'TUSD BE'!$R$30*'TUSD BE'!$S$58</f>
        <v>0</v>
      </c>
      <c r="T30" s="13">
        <f ca="1">SUM($L$30:$S$30)</f>
        <v>-3.2418814159029714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9.2007192358682452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9.2007192358682452</v>
      </c>
      <c r="AC30" s="13">
        <f>'TUSD BE'!$AC$30*'TUSD BE'!$AC$58</f>
        <v>-50.408186650062575</v>
      </c>
      <c r="AD30" s="13">
        <f>SUM($AC$30:$AC$30)</f>
        <v>-50.408186650062575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-0.91667486491935368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-0.91667486491935368</v>
      </c>
      <c r="AM30" s="13">
        <f ca="1">SUMIF($L$4:$AL$4,"SUBTOTAL",$L$30:$AL$30)</f>
        <v>-45.366023695016651</v>
      </c>
      <c r="AO30" s="26">
        <f ca="1">+'TUSD BE'!$T$30+'TUSD BE'!$AB$30+'TUSD BE'!$AD$30+'TUSD BE'!$AL$30</f>
        <v>1560.5862278712634</v>
      </c>
      <c r="AP30" s="26">
        <f ca="1">+'TUSD BE'!$T$30+'TUSD BE'!$AB$30+'TUSD BE'!$AD$30+'TUSD BE'!$AL$30</f>
        <v>1560.5862278712634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>
        <f>'TUSD BE'!$L$31*'TUSD BE'!$L$58</f>
        <v>0</v>
      </c>
      <c r="M31" s="13">
        <f>'TUSD BE'!$M$31*'TUSD BE'!$M$58</f>
        <v>-4.7015264327435843E-2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-2.7568560150132795</v>
      </c>
      <c r="R31" s="13">
        <f>'TUSD BE'!$R$31*'TUSD BE'!$R$58</f>
        <v>-0.43801013656225585</v>
      </c>
      <c r="S31" s="13">
        <f>'TUSD BE'!$R$31*'TUSD BE'!$S$58</f>
        <v>0</v>
      </c>
      <c r="T31" s="13">
        <f ca="1">SUM($L$31:$S$31)</f>
        <v>-3.2418814159029714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5.5188433851511194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5.5188433851511194</v>
      </c>
      <c r="AC31" s="13">
        <f>'TUSD BE'!$AC$31*'TUSD BE'!$AC$58</f>
        <v>-30.244920697320271</v>
      </c>
      <c r="AD31" s="13">
        <f>SUM($AC$31:$AC$31)</f>
        <v>-30.244920697320271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-0.91667486491935368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-0.91667486491935368</v>
      </c>
      <c r="AM31" s="13">
        <f ca="1">SUMIF($L$4:$AL$4,"SUBTOTAL",$L$31:$AL$31)</f>
        <v>-28.884633592991477</v>
      </c>
      <c r="AO31" s="26">
        <f ca="1">+'TUSD BE'!$T$31+'TUSD BE'!$AB$31+'TUSD BE'!$AD$31+'TUSD BE'!$AL$31</f>
        <v>984.29473760193105</v>
      </c>
      <c r="AP31" s="26">
        <f ca="1">+'TUSD BE'!$T$31+'TUSD BE'!$AB$31+'TUSD BE'!$AD$31+'TUSD BE'!$AL$31</f>
        <v>984.29473760193105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>
        <f>'TUSD BE'!$L$32*'TUSD BE'!$L$58</f>
        <v>0</v>
      </c>
      <c r="M32" s="13">
        <f>'TUSD BE'!$M$32*'TUSD BE'!$M$58</f>
        <v>-4.7015264327435843E-2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-2.7568560150132795</v>
      </c>
      <c r="R32" s="13">
        <f>'TUSD BE'!$R$32*'TUSD BE'!$R$58</f>
        <v>-0.43801013656225585</v>
      </c>
      <c r="S32" s="13">
        <f>'TUSD BE'!$R$32*'TUSD BE'!$S$58</f>
        <v>0</v>
      </c>
      <c r="T32" s="13">
        <f ca="1">SUM($L$32:$S$32)</f>
        <v>-3.2418814159029714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1.8409379253585629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1.8409379253585629</v>
      </c>
      <c r="AC32" s="13">
        <f>'TUSD BE'!$AC$32*'TUSD BE'!$AC$58</f>
        <v>-10.08164023244009</v>
      </c>
      <c r="AD32" s="13">
        <f>SUM($AC$32:$AC$32)</f>
        <v>-10.08164023244009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-0.91667486491935368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-0.91667486491935368</v>
      </c>
      <c r="AM32" s="13">
        <f ca="1">SUMIF($L$4:$AL$4,"SUBTOTAL",$L$32:$AL$32)</f>
        <v>-12.399258587903853</v>
      </c>
      <c r="AO32" s="26">
        <f ca="1">+'TUSD BE'!$T$32+'TUSD BE'!$AB$32+'TUSD BE'!$AD$32+'TUSD BE'!$AL$32</f>
        <v>408.12893962582774</v>
      </c>
      <c r="AP32" s="26">
        <f ca="1">+'TUSD BE'!$T$32+'TUSD BE'!$AB$32+'TUSD BE'!$AD$32+'TUSD BE'!$AL$32</f>
        <v>408.12893962582774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>
        <f>'TUSD BE'!$L$33*'TUSD BE'!$L$58</f>
        <v>0</v>
      </c>
      <c r="M33" s="13">
        <f>'TUSD BE'!$M$33*'TUSD BE'!$M$58</f>
        <v>-4.7015264327435843E-2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-2.7568560150132795</v>
      </c>
      <c r="R33" s="13">
        <f>'TUSD BE'!$R$33*'TUSD BE'!$R$58</f>
        <v>-0.43801013656225585</v>
      </c>
      <c r="S33" s="13">
        <f>'TUSD BE'!$R$33*'TUSD BE'!$S$58</f>
        <v>0</v>
      </c>
      <c r="T33" s="13">
        <f ca="1">SUM($L$33:$S$33)</f>
        <v>-3.2418814159029714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3.1194038030698299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3.1194038030698299</v>
      </c>
      <c r="AC33" s="13">
        <f>'TUSD BE'!$AC$33*'TUSD BE'!$AC$58</f>
        <v>-17.087519914452542</v>
      </c>
      <c r="AD33" s="13">
        <f>SUM($AC$33:$AC$33)</f>
        <v>-17.087519914452542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-0.91667486491935368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-0.91667486491935368</v>
      </c>
      <c r="AM33" s="13">
        <f ca="1">SUMIF($L$4:$AL$4,"SUBTOTAL",$L$33:$AL$33)</f>
        <v>-18.126672392205037</v>
      </c>
      <c r="AO33" s="26">
        <f ca="1">+'TUSD BE'!$T$33+'TUSD BE'!$AB$33+'TUSD BE'!$AD$33+'TUSD BE'!$AL$33</f>
        <v>608.33944996592675</v>
      </c>
      <c r="AP33" s="26">
        <f ca="1">+'TUSD BE'!$T$33+'TUSD BE'!$AB$33+'TUSD BE'!$AD$33+'TUSD BE'!$AL$33</f>
        <v>608.33944996592675</v>
      </c>
    </row>
    <row r="34" spans="1:42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-4.7015264327435843E-2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-2.7568560150132795</v>
      </c>
      <c r="R34" s="13">
        <f>'TUSD BE'!$R$34*'TUSD BE'!$R$58</f>
        <v>-0.43801013656225585</v>
      </c>
      <c r="S34" s="13">
        <f>'TUSD BE'!$R$34*'TUSD BE'!$S$58</f>
        <v>0</v>
      </c>
      <c r="T34" s="13">
        <f ca="1">SUM($L$34:$S$34)</f>
        <v>-3.2418814159029714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9.2007192358682452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9.2007192358682452</v>
      </c>
      <c r="AC34" s="13">
        <f>'TUSD BE'!$AC$34*'TUSD BE'!$AC$58</f>
        <v>-50.408186650062575</v>
      </c>
      <c r="AD34" s="13">
        <f>SUM($AC$34:$AC$34)</f>
        <v>-50.408186650062575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-0.91667486491935368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-0.91667486491935368</v>
      </c>
      <c r="AM34" s="13">
        <f ca="1">SUMIF($L$4:$AL$4,"SUBTOTAL",$L$34:$AL$34)</f>
        <v>-45.366023695016651</v>
      </c>
      <c r="AO34" s="26">
        <f ca="1">+'TUSD BE'!$T$34+'TUSD BE'!$AB$34+'TUSD BE'!$AD$34+'TUSD BE'!$AL$34</f>
        <v>1560.5862278712634</v>
      </c>
      <c r="AP34" s="26">
        <f ca="1">+'TUSD BE'!$T$34+'TUSD BE'!$AB$34+'TUSD BE'!$AD$34+'TUSD BE'!$AL$34</f>
        <v>1560.5862278712634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-4.7015264327435843E-2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-2.7568560150132795</v>
      </c>
      <c r="R35" s="13">
        <f>'TUSD BE'!$R$35*'TUSD BE'!$R$58</f>
        <v>-0.43801013656225585</v>
      </c>
      <c r="S35" s="13">
        <f>'TUSD BE'!$R$35*'TUSD BE'!$S$58</f>
        <v>0</v>
      </c>
      <c r="T35" s="13">
        <f ca="1">SUM($L$35:$S$35)</f>
        <v>-3.2418814159029714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5.5188433851511194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5.5188433851511194</v>
      </c>
      <c r="AC35" s="13">
        <f>'TUSD BE'!$AC$35*'TUSD BE'!$AC$58</f>
        <v>-30.244920697320271</v>
      </c>
      <c r="AD35" s="13">
        <f>SUM($AC$35:$AC$35)</f>
        <v>-30.244920697320271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-0.91667486491935368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-0.91667486491935368</v>
      </c>
      <c r="AM35" s="13">
        <f ca="1">SUMIF($L$4:$AL$4,"SUBTOTAL",$L$35:$AL$35)</f>
        <v>-28.884633592991477</v>
      </c>
      <c r="AO35" s="26">
        <f ca="1">+'TUSD BE'!$T$35+'TUSD BE'!$AB$35+'TUSD BE'!$AD$35+'TUSD BE'!$AL$35</f>
        <v>984.29473760193105</v>
      </c>
      <c r="AP35" s="26">
        <f ca="1">+'TUSD BE'!$T$35+'TUSD BE'!$AB$35+'TUSD BE'!$AD$35+'TUSD BE'!$AL$35</f>
        <v>984.29473760193105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-4.7015264327435843E-2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-2.7568560150132795</v>
      </c>
      <c r="R36" s="13">
        <f>'TUSD BE'!$R$36*'TUSD BE'!$R$58</f>
        <v>-0.43801013656225585</v>
      </c>
      <c r="S36" s="13">
        <f>'TUSD BE'!$R$36*'TUSD BE'!$S$58</f>
        <v>0</v>
      </c>
      <c r="T36" s="13">
        <f ca="1">SUM($L$36:$S$36)</f>
        <v>-3.2418814159029714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1.8409379253585629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1.8409379253585629</v>
      </c>
      <c r="AC36" s="13">
        <f>'TUSD BE'!$AC$36*'TUSD BE'!$AC$58</f>
        <v>-10.08164023244009</v>
      </c>
      <c r="AD36" s="13">
        <f>SUM($AC$36:$AC$36)</f>
        <v>-10.08164023244009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-0.91667486491935368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-0.91667486491935368</v>
      </c>
      <c r="AM36" s="13">
        <f ca="1">SUMIF($L$4:$AL$4,"SUBTOTAL",$L$36:$AL$36)</f>
        <v>-12.399258587903853</v>
      </c>
      <c r="AO36" s="26">
        <f ca="1">+'TUSD BE'!$T$36+'TUSD BE'!$AB$36+'TUSD BE'!$AD$36+'TUSD BE'!$AL$36</f>
        <v>408.12893962582774</v>
      </c>
      <c r="AP36" s="26">
        <f ca="1">+'TUSD BE'!$T$36+'TUSD BE'!$AB$36+'TUSD BE'!$AD$36+'TUSD BE'!$AL$36</f>
        <v>408.12893962582774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-4.7015264327435843E-2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-2.7568560150132795</v>
      </c>
      <c r="R37" s="13">
        <f>'TUSD BE'!$R$37*'TUSD BE'!$R$58</f>
        <v>-0.43801013656225585</v>
      </c>
      <c r="S37" s="13">
        <f>'TUSD BE'!$R$37*'TUSD BE'!$S$58</f>
        <v>0</v>
      </c>
      <c r="T37" s="13">
        <f ca="1">SUM($L$37:$S$37)</f>
        <v>-3.2418814159029714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3.1194038030698299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3.1194038030698299</v>
      </c>
      <c r="AC37" s="13">
        <f>'TUSD BE'!$AC$37*'TUSD BE'!$AC$58</f>
        <v>-17.087519914452542</v>
      </c>
      <c r="AD37" s="13">
        <f>SUM($AC$37:$AC$37)</f>
        <v>-17.087519914452542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-0.91667486491935368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-0.91667486491935368</v>
      </c>
      <c r="AM37" s="13">
        <f ca="1">SUMIF($L$4:$AL$4,"SUBTOTAL",$L$37:$AL$37)</f>
        <v>-18.126672392205037</v>
      </c>
      <c r="AO37" s="26">
        <f ca="1">+'TUSD BE'!$T$37+'TUSD BE'!$AB$37+'TUSD BE'!$AD$37+'TUSD BE'!$AL$37</f>
        <v>608.33944996592675</v>
      </c>
      <c r="AP37" s="26">
        <f ca="1">+'TUSD BE'!$T$37+'TUSD BE'!$AB$37+'TUSD BE'!$AD$37+'TUSD BE'!$AL$37</f>
        <v>608.33944996592675</v>
      </c>
    </row>
    <row r="38" spans="1:42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-4.7015264327435843E-2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-2.7568560150132795</v>
      </c>
      <c r="R38" s="13">
        <f>'TUSD BE'!$R$38*'TUSD BE'!$R$58</f>
        <v>-0.43801013656225585</v>
      </c>
      <c r="S38" s="13">
        <f>'TUSD BE'!$R$38*'TUSD BE'!$S$58</f>
        <v>0</v>
      </c>
      <c r="T38" s="13">
        <f ca="1">SUM($L$38:$S$38)</f>
        <v>-3.2418814159029714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9.2007192358682452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9.2007192358682452</v>
      </c>
      <c r="AC38" s="13">
        <f>'TUSD BE'!$AC$38*'TUSD BE'!$AC$58</f>
        <v>-50.408186650062575</v>
      </c>
      <c r="AD38" s="13">
        <f>SUM($AC$38:$AC$38)</f>
        <v>-50.408186650062575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-0.91667486491935368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-0.91667486491935368</v>
      </c>
      <c r="AM38" s="13">
        <f ca="1">SUMIF($L$4:$AL$4,"SUBTOTAL",$L$38:$AL$38)</f>
        <v>-45.366023695016651</v>
      </c>
      <c r="AO38" s="26">
        <f ca="1">+'TUSD BE'!$T$38+'TUSD BE'!$AB$38+'TUSD BE'!$AD$38+'TUSD BE'!$AL$38</f>
        <v>1560.5862278712634</v>
      </c>
      <c r="AP38" s="26">
        <f ca="1">+'TUSD BE'!$T$38+'TUSD BE'!$AB$38+'TUSD BE'!$AD$38+'TUSD BE'!$AL$38</f>
        <v>1560.5862278712634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-4.7015264327435843E-2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-2.7568560150132795</v>
      </c>
      <c r="R39" s="13">
        <f>'TUSD BE'!$R$39*'TUSD BE'!$R$58</f>
        <v>-0.43801013656225585</v>
      </c>
      <c r="S39" s="13">
        <f>'TUSD BE'!$R$39*'TUSD BE'!$S$58</f>
        <v>0</v>
      </c>
      <c r="T39" s="13">
        <f ca="1">SUM($L$39:$S$39)</f>
        <v>-3.2418814159029714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5.5188433851511194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5.5188433851511194</v>
      </c>
      <c r="AC39" s="13">
        <f>'TUSD BE'!$AC$39*'TUSD BE'!$AC$58</f>
        <v>-30.244920697320271</v>
      </c>
      <c r="AD39" s="13">
        <f>SUM($AC$39:$AC$39)</f>
        <v>-30.244920697320271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-0.91667486491935368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-0.91667486491935368</v>
      </c>
      <c r="AM39" s="13">
        <f ca="1">SUMIF($L$4:$AL$4,"SUBTOTAL",$L$39:$AL$39)</f>
        <v>-28.884633592991477</v>
      </c>
      <c r="AO39" s="26">
        <f ca="1">+'TUSD BE'!$T$39+'TUSD BE'!$AB$39+'TUSD BE'!$AD$39+'TUSD BE'!$AL$39</f>
        <v>984.29473760193105</v>
      </c>
      <c r="AP39" s="26">
        <f ca="1">+'TUSD BE'!$T$39+'TUSD BE'!$AB$39+'TUSD BE'!$AD$39+'TUSD BE'!$AL$39</f>
        <v>984.29473760193105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-4.7015264327435843E-2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-2.7568560150132795</v>
      </c>
      <c r="R40" s="13">
        <f>'TUSD BE'!$R$40*'TUSD BE'!$R$58</f>
        <v>-0.43801013656225585</v>
      </c>
      <c r="S40" s="13">
        <f>'TUSD BE'!$R$40*'TUSD BE'!$S$58</f>
        <v>0</v>
      </c>
      <c r="T40" s="13">
        <f ca="1">SUM($L$40:$S$40)</f>
        <v>-3.2418814159029714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1.8409379253585629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1.8409379253585629</v>
      </c>
      <c r="AC40" s="13">
        <f>'TUSD BE'!$AC$40*'TUSD BE'!$AC$58</f>
        <v>-10.08164023244009</v>
      </c>
      <c r="AD40" s="13">
        <f>SUM($AC$40:$AC$40)</f>
        <v>-10.08164023244009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-0.91667486491935368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-0.91667486491935368</v>
      </c>
      <c r="AM40" s="13">
        <f ca="1">SUMIF($L$4:$AL$4,"SUBTOTAL",$L$40:$AL$40)</f>
        <v>-12.399258587903853</v>
      </c>
      <c r="AO40" s="26">
        <f ca="1">+'TUSD BE'!$T$40+'TUSD BE'!$AB$40+'TUSD BE'!$AD$40+'TUSD BE'!$AL$40</f>
        <v>408.12893962582774</v>
      </c>
      <c r="AP40" s="26">
        <f ca="1">+'TUSD BE'!$T$40+'TUSD BE'!$AB$40+'TUSD BE'!$AD$40+'TUSD BE'!$AL$40</f>
        <v>408.12893962582774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-4.7015264327435843E-2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-2.7568560150132795</v>
      </c>
      <c r="R41" s="13">
        <f>'TUSD BE'!$R$41*'TUSD BE'!$R$58</f>
        <v>-0.43801013656225585</v>
      </c>
      <c r="S41" s="13">
        <f>'TUSD BE'!$R$41*'TUSD BE'!$S$58</f>
        <v>0</v>
      </c>
      <c r="T41" s="13">
        <f ca="1">SUM($L$41:$S$41)</f>
        <v>-3.2418814159029714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3.1194038030698299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3.1194038030698299</v>
      </c>
      <c r="AC41" s="13">
        <f>'TUSD BE'!$AC$41*'TUSD BE'!$AC$58</f>
        <v>-17.087519914452542</v>
      </c>
      <c r="AD41" s="13">
        <f>SUM($AC$41:$AC$41)</f>
        <v>-17.087519914452542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-0.91667486491935368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-0.91667486491935368</v>
      </c>
      <c r="AM41" s="13">
        <f ca="1">SUMIF($L$4:$AL$4,"SUBTOTAL",$L$41:$AL$41)</f>
        <v>-18.126672392205037</v>
      </c>
      <c r="AO41" s="26">
        <f ca="1">+'TUSD BE'!$T$41+'TUSD BE'!$AB$41+'TUSD BE'!$AD$41+'TUSD BE'!$AL$41</f>
        <v>608.33944996592675</v>
      </c>
      <c r="AP41" s="26">
        <f ca="1">+'TUSD BE'!$T$41+'TUSD BE'!$AB$41+'TUSD BE'!$AD$41+'TUSD BE'!$AL$41</f>
        <v>608.33944996592675</v>
      </c>
    </row>
    <row r="42" spans="1:42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-4.7015264327435843E-2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-2.7568560150132795</v>
      </c>
      <c r="R42" s="13">
        <f>'TUSD BE'!$R$42*'TUSD BE'!$R$58</f>
        <v>-0.43801013656225585</v>
      </c>
      <c r="S42" s="13">
        <f>'TUSD BE'!$R$42*'TUSD BE'!$S$58</f>
        <v>0</v>
      </c>
      <c r="T42" s="13">
        <f ca="1">SUM($L$42:$S$42)</f>
        <v>-3.2418814159029714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3.1194038030698299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3.1194038030698299</v>
      </c>
      <c r="AC42" s="13">
        <f>'TUSD BE'!$AC$42*'TUSD BE'!$AC$58</f>
        <v>-17.087519914452542</v>
      </c>
      <c r="AD42" s="13">
        <f>SUM($AC$42:$AC$42)</f>
        <v>-17.087519914452542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-0.91667486491935368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-0.91667486491935368</v>
      </c>
      <c r="AM42" s="13">
        <f ca="1">SUMIF($L$4:$AL$4,"SUBTOTAL",$L$42:$AL$42)</f>
        <v>-18.126672392205037</v>
      </c>
      <c r="AO42" s="26">
        <f ca="1">+'TUSD BE'!$T$42+'TUSD BE'!$AB$42+'TUSD BE'!$AD$42+'TUSD BE'!$AL$42</f>
        <v>608.33944996592675</v>
      </c>
      <c r="AP42" s="26">
        <f ca="1">+'TUSD BE'!$T$42+'TUSD BE'!$AB$42+'TUSD BE'!$AD$42+'TUSD BE'!$AL$42</f>
        <v>608.33944996592675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-4.7015264327435843E-2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-2.7568560150132795</v>
      </c>
      <c r="R43" s="13">
        <f>'TUSD BE'!$R$43*'TUSD BE'!$R$58</f>
        <v>-0.43801013656225585</v>
      </c>
      <c r="S43" s="13">
        <f>'TUSD BE'!$R$43*'TUSD BE'!$S$58</f>
        <v>0</v>
      </c>
      <c r="T43" s="13">
        <f ca="1">SUM($L$43:$S$43)</f>
        <v>-3.2418814159029714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3.1194038030698299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3.1194038030698299</v>
      </c>
      <c r="AC43" s="13">
        <f>'TUSD BE'!$AC$43*'TUSD BE'!$AC$58</f>
        <v>-17.087519914452542</v>
      </c>
      <c r="AD43" s="13">
        <f>SUM($AC$43:$AC$43)</f>
        <v>-17.087519914452542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-0.91667486491935368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-0.91667486491935368</v>
      </c>
      <c r="AM43" s="13">
        <f ca="1">SUMIF($L$4:$AL$4,"SUBTOTAL",$L$43:$AL$43)</f>
        <v>-18.126672392205037</v>
      </c>
      <c r="AO43" s="26">
        <f ca="1">+'TUSD BE'!$T$43+'TUSD BE'!$AB$43+'TUSD BE'!$AD$43+'TUSD BE'!$AL$43</f>
        <v>608.33944996592675</v>
      </c>
      <c r="AP43" s="26">
        <f ca="1">+'TUSD BE'!$T$43+'TUSD BE'!$AB$43+'TUSD BE'!$AD$43+'TUSD BE'!$AL$43</f>
        <v>608.33944996592675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-4.7015264327435843E-2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-2.7568560150132795</v>
      </c>
      <c r="R44" s="13">
        <f>'TUSD BE'!$R$44*'TUSD BE'!$R$58</f>
        <v>-0.43801013656225585</v>
      </c>
      <c r="S44" s="13">
        <f>'TUSD BE'!$R$44*'TUSD BE'!$S$58</f>
        <v>0</v>
      </c>
      <c r="T44" s="13">
        <f ca="1">SUM($L$44:$S$44)</f>
        <v>-3.2418814159029714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3.1194038030698299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3.1194038030698299</v>
      </c>
      <c r="AC44" s="13">
        <f>'TUSD BE'!$AC$44*'TUSD BE'!$AC$58</f>
        <v>-17.087519914452542</v>
      </c>
      <c r="AD44" s="13">
        <f>SUM($AC$44:$AC$44)</f>
        <v>-17.087519914452542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-0.91667486491935368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-0.91667486491935368</v>
      </c>
      <c r="AM44" s="13">
        <f ca="1">SUMIF($L$4:$AL$4,"SUBTOTAL",$L$44:$AL$44)</f>
        <v>-18.126672392205037</v>
      </c>
      <c r="AO44" s="26">
        <f ca="1">+'TUSD BE'!$T$44+'TUSD BE'!$AB$44+'TUSD BE'!$AD$44+'TUSD BE'!$AL$44</f>
        <v>608.33944996592675</v>
      </c>
      <c r="AP44" s="26">
        <f ca="1">+'TUSD BE'!$T$44+'TUSD BE'!$AB$44+'TUSD BE'!$AD$44+'TUSD BE'!$AL$44</f>
        <v>608.33944996592675</v>
      </c>
    </row>
    <row r="45" spans="1:42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>
        <f>'TUSD BE'!$L$45*'TUSD BE'!$L$58</f>
        <v>0</v>
      </c>
      <c r="M45" s="13">
        <f>'TUSD BE'!$M$45*'TUSD BE'!$M$58</f>
        <v>-4.7015264327435843E-2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-2.7568560150132795</v>
      </c>
      <c r="R45" s="13">
        <f>'TUSD BE'!$R$45*'TUSD BE'!$R$58</f>
        <v>-0.43801013656225585</v>
      </c>
      <c r="S45" s="13">
        <f>'TUSD BE'!$R$45*'TUSD BE'!$S$58</f>
        <v>0</v>
      </c>
      <c r="T45" s="13">
        <f ca="1">SUM($L$45:$S$45)</f>
        <v>-3.2418814159029714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10.60359069588268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10.60359069588268</v>
      </c>
      <c r="AC45" s="13">
        <f>'TUSD BE'!$AC$45*'TUSD BE'!$AC$58</f>
        <v>-58.097573513993787</v>
      </c>
      <c r="AD45" s="13">
        <f>SUM($AC$45:$AC$45)</f>
        <v>-58.097573513993787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-0.91667486491935368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-0.91667486491935368</v>
      </c>
      <c r="AM45" s="13">
        <f ca="1">SUMIF($L$4:$AL$4,"SUBTOTAL",$L$45:$AL$45)</f>
        <v>-51.652539098933431</v>
      </c>
      <c r="AO45" s="26">
        <f ca="1">+'TUSD BE'!$T$45+'TUSD BE'!$AB$45+'TUSD BE'!$AD$45+'TUSD BE'!$AL$45</f>
        <v>1780.3193783929403</v>
      </c>
      <c r="AP45" s="26">
        <f ca="1">+'TUSD BE'!$T$45+'TUSD BE'!$AB$45+'TUSD BE'!$AD$45+'TUSD BE'!$AL$45</f>
        <v>1780.3193783929403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>
        <f>'TUSD BE'!$L$46*'TUSD BE'!$L$58</f>
        <v>0</v>
      </c>
      <c r="M46" s="13">
        <f>'TUSD BE'!$M$46*'TUSD BE'!$M$58</f>
        <v>-4.7015264327435843E-2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-2.7568560150132795</v>
      </c>
      <c r="R46" s="13">
        <f>'TUSD BE'!$R$46*'TUSD BE'!$R$58</f>
        <v>-0.43801013656225585</v>
      </c>
      <c r="S46" s="13">
        <f>'TUSD BE'!$R$46*'TUSD BE'!$S$58</f>
        <v>0</v>
      </c>
      <c r="T46" s="13">
        <f ca="1">SUM($L$46:$S$46)</f>
        <v>-3.2418814159029714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6.3618897248013031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6.3618897248013031</v>
      </c>
      <c r="AC46" s="13">
        <f>'TUSD BE'!$AC$46*'TUSD BE'!$AC$58</f>
        <v>-34.858547010823848</v>
      </c>
      <c r="AD46" s="13">
        <f>SUM($AC$46:$AC$46)</f>
        <v>-34.858547010823848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-0.91667486491935368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-0.91667486491935368</v>
      </c>
      <c r="AM46" s="13">
        <f ca="1">SUMIF($L$4:$AL$4,"SUBTOTAL",$L$46:$AL$46)</f>
        <v>-32.655213566844871</v>
      </c>
      <c r="AO46" s="26">
        <f ca="1">+'TUSD BE'!$T$46+'TUSD BE'!$AB$46+'TUSD BE'!$AD$46+'TUSD BE'!$AL$46</f>
        <v>1116.1765033017791</v>
      </c>
      <c r="AP46" s="26">
        <f ca="1">+'TUSD BE'!$T$46+'TUSD BE'!$AB$46+'TUSD BE'!$AD$46+'TUSD BE'!$AL$46</f>
        <v>1116.1765033017791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>
        <f>'TUSD BE'!$L$47*'TUSD BE'!$L$58</f>
        <v>0</v>
      </c>
      <c r="M47" s="13">
        <f>'TUSD BE'!$M$47*'TUSD BE'!$M$58</f>
        <v>-4.7015264327435843E-2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-2.7568560150132795</v>
      </c>
      <c r="R47" s="13">
        <f>'TUSD BE'!$R$47*'TUSD BE'!$R$58</f>
        <v>-0.43801013656225585</v>
      </c>
      <c r="S47" s="13">
        <f>'TUSD BE'!$R$47*'TUSD BE'!$S$58</f>
        <v>0</v>
      </c>
      <c r="T47" s="13">
        <f ca="1">SUM($L$47:$S$47)</f>
        <v>-3.2418814159029714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2.1215122173614498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2.1215122173614498</v>
      </c>
      <c r="AC47" s="13">
        <f>'TUSD BE'!$AC$47*'TUSD BE'!$AC$58</f>
        <v>-11.619520507653908</v>
      </c>
      <c r="AD47" s="13">
        <f>SUM($AC$47:$AC$47)</f>
        <v>-11.619520507653908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-0.91667486491935368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-0.91667486491935368</v>
      </c>
      <c r="AM47" s="13">
        <f ca="1">SUMIF($L$4:$AL$4,"SUBTOTAL",$L$47:$AL$47)</f>
        <v>-13.656564571114783</v>
      </c>
      <c r="AO47" s="26">
        <f ca="1">+'TUSD BE'!$T$47+'TUSD BE'!$AB$47+'TUSD BE'!$AD$47+'TUSD BE'!$AL$47</f>
        <v>452.07563586286602</v>
      </c>
      <c r="AP47" s="26">
        <f ca="1">+'TUSD BE'!$T$47+'TUSD BE'!$AB$47+'TUSD BE'!$AD$47+'TUSD BE'!$AL$47</f>
        <v>452.07563586286602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>
        <f>'TUSD BE'!$L$48*'TUSD BE'!$L$58</f>
        <v>0</v>
      </c>
      <c r="M48" s="13">
        <f>'TUSD BE'!$M$48*'TUSD BE'!$M$58</f>
        <v>-4.7015264327435843E-2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-2.7568560150132795</v>
      </c>
      <c r="R48" s="13">
        <f>'TUSD BE'!$R$48*'TUSD BE'!$R$58</f>
        <v>-0.43801013656225585</v>
      </c>
      <c r="S48" s="13">
        <f>'TUSD BE'!$R$48*'TUSD BE'!$S$58</f>
        <v>0</v>
      </c>
      <c r="T48" s="13">
        <f ca="1">SUM($L$48:$S$48)</f>
        <v>-3.2418814159029714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3.1194038030698299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3.1194038030698299</v>
      </c>
      <c r="AC48" s="13">
        <f>'TUSD BE'!$AC$48*'TUSD BE'!$AC$58</f>
        <v>-17.087519914452542</v>
      </c>
      <c r="AD48" s="13">
        <f>SUM($AC$48:$AC$48)</f>
        <v>-17.087519914452542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-0.91667486491935368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-0.91667486491935368</v>
      </c>
      <c r="AM48" s="13">
        <f ca="1">SUMIF($L$4:$AL$4,"SUBTOTAL",$L$48:$AL$48)</f>
        <v>-18.126672392205037</v>
      </c>
      <c r="AO48" s="26">
        <f ca="1">+'TUSD BE'!$T$48+'TUSD BE'!$AB$48+'TUSD BE'!$AD$48+'TUSD BE'!$AL$48</f>
        <v>608.33944996592675</v>
      </c>
      <c r="AP48" s="26">
        <f ca="1">+'TUSD BE'!$T$48+'TUSD BE'!$AB$48+'TUSD BE'!$AD$48+'TUSD BE'!$AL$48</f>
        <v>608.33944996592675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-4.7015264327435843E-2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-2.7568560150132795</v>
      </c>
      <c r="R49" s="13">
        <f>'TUSD BE'!$R$49*'TUSD BE'!$R$58</f>
        <v>-0.43801013656225585</v>
      </c>
      <c r="S49" s="13">
        <f>'TUSD BE'!$R$49*'TUSD BE'!$S$58</f>
        <v>0</v>
      </c>
      <c r="T49" s="13">
        <f ca="1">SUM($L$49:$S$49)</f>
        <v>-3.2418814159029714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3.1194038030698299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3.1194038030698299</v>
      </c>
      <c r="AC49" s="13">
        <f>'TUSD BE'!$AC$49*'TUSD BE'!$AC$58</f>
        <v>-17.087519914452542</v>
      </c>
      <c r="AD49" s="13">
        <f>SUM($AC$49:$AC$49)</f>
        <v>-17.087519914452542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-0.91667486491935368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-0.91667486491935368</v>
      </c>
      <c r="AM49" s="13">
        <f ca="1">SUMIF($L$4:$AL$4,"SUBTOTAL",$L$49:$AL$49)</f>
        <v>-18.126672392205037</v>
      </c>
      <c r="AO49" s="26">
        <f ca="1">+'TUSD BE'!$T$49+'TUSD BE'!$AB$49+'TUSD BE'!$AD$49+'TUSD BE'!$AL$49</f>
        <v>608.33944996592675</v>
      </c>
      <c r="AP49" s="26">
        <f ca="1">+'TUSD BE'!$T$49+'TUSD BE'!$AB$49+'TUSD BE'!$AD$49+'TUSD BE'!$AL$49</f>
        <v>608.33944996592675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>
        <f>'TUSD BE'!$L$50*'TUSD BE'!$L$58</f>
        <v>0</v>
      </c>
      <c r="M50" s="13">
        <f>'TUSD BE'!$M$50*'TUSD BE'!$M$58</f>
        <v>-2.5858395380089712E-2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-1.5162708082573038</v>
      </c>
      <c r="R50" s="13">
        <f>'TUSD BE'!$R$50*'TUSD BE'!$R$58</f>
        <v>-0.24090557510924074</v>
      </c>
      <c r="S50" s="13">
        <f>'TUSD BE'!$R$50*'TUSD BE'!$S$58</f>
        <v>0</v>
      </c>
      <c r="T50" s="13">
        <f ca="1">SUM($L$50:$S$50)</f>
        <v>-1.7830347787466343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1.7156720916884063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1.7156720916884063</v>
      </c>
      <c r="AC50" s="13">
        <f>'TUSD BE'!$AC$50*'TUSD BE'!$AC$58</f>
        <v>-9.3981359529488984</v>
      </c>
      <c r="AD50" s="13">
        <f>SUM($AC$50:$AC$50)</f>
        <v>-9.3981359529488984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-0.50417117570564463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-0.50417117570564463</v>
      </c>
      <c r="AM50" s="13">
        <f ca="1">SUMIF($L$4:$AL$4,"SUBTOTAL",$L$50:$AL$50)</f>
        <v>-9.9696698157127717</v>
      </c>
      <c r="AO50" s="26">
        <f ca="1">+'TUSD BE'!$T$50+'TUSD BE'!$AB$50+'TUSD BE'!$AD$50+'TUSD BE'!$AL$50</f>
        <v>334.58669748125976</v>
      </c>
      <c r="AP50" s="26">
        <f ca="1">+'TUSD BE'!$T$50+'TUSD BE'!$AB$50+'TUSD BE'!$AD$50+'TUSD BE'!$AL$50</f>
        <v>334.58669748125976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>
        <f>'TUSD BE'!$L$51*'TUSD BE'!$L$58</f>
        <v>0</v>
      </c>
      <c r="M51" s="13">
        <f>'TUSD BE'!$M$51*'TUSD BE'!$M$58</f>
        <v>-2.8209158596461503E-2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-1.6541136090079676</v>
      </c>
      <c r="R51" s="13">
        <f>'TUSD BE'!$R$51*'TUSD BE'!$R$58</f>
        <v>-0.26280608193735344</v>
      </c>
      <c r="S51" s="13">
        <f>'TUSD BE'!$R$51*'TUSD BE'!$S$58</f>
        <v>0</v>
      </c>
      <c r="T51" s="13">
        <f ca="1">SUM($L$51:$S$51)</f>
        <v>-1.9451288495417824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1.8716422818418978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1.8716422818418978</v>
      </c>
      <c r="AC51" s="13">
        <f>'TUSD BE'!$AC$51*'TUSD BE'!$AC$58</f>
        <v>-10.252511948671522</v>
      </c>
      <c r="AD51" s="13">
        <f>SUM($AC$51:$AC$51)</f>
        <v>-10.252511948671522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-0.55000491895161219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-0.55000491895161219</v>
      </c>
      <c r="AM51" s="13">
        <f ca="1">SUMIF($L$4:$AL$4,"SUBTOTAL",$L$51:$AL$51)</f>
        <v>-10.876003435323019</v>
      </c>
      <c r="AO51" s="26">
        <f ca="1">+'TUSD BE'!$T$51+'TUSD BE'!$AB$51+'TUSD BE'!$AD$51+'TUSD BE'!$AL$51</f>
        <v>365.00366997955604</v>
      </c>
      <c r="AP51" s="26">
        <f ca="1">+'TUSD BE'!$T$51+'TUSD BE'!$AB$51+'TUSD BE'!$AD$51+'TUSD BE'!$AL$51</f>
        <v>365.00366997955604</v>
      </c>
    </row>
    <row r="53" spans="1:42" ht="11.25" customHeight="1" x14ac:dyDescent="0.25">
      <c r="K53" s="16" t="s">
        <v>556</v>
      </c>
      <c r="L53" s="13">
        <f>SUMPRODUCT($I$5:$I51,$L$5:$L51)</f>
        <v>0</v>
      </c>
      <c r="M53" s="13">
        <f>SUMPRODUCT($I$5:$I51,$M$5:$M51)</f>
        <v>-3652.6782808927237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-349542.0553979844</v>
      </c>
      <c r="R53" s="13">
        <f>SUMPRODUCT($I$5:$I51,$R$5:$R51)</f>
        <v>-61869.648417803073</v>
      </c>
      <c r="S53" s="13">
        <f>SUMPRODUCT($I$5:$I51,$S$5:$S51)</f>
        <v>0</v>
      </c>
      <c r="T53" s="13">
        <f ca="1">SUMPRODUCT($I$5:$I51,$T$5:$T51)</f>
        <v>-415064.38209668029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365137.38193692802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365137.38193692802</v>
      </c>
      <c r="AC53" s="13">
        <f>SUMPRODUCT($I$5:$I51,$AC$5:$AC51)</f>
        <v>-1327071.3845209642</v>
      </c>
      <c r="AD53" s="13">
        <f>SUMPRODUCT($I$5:$I51,$AD$5:$AD51)</f>
        <v>-1327071.3845209642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-89359.797349940214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-89359.797349940214</v>
      </c>
      <c r="AM53" s="13">
        <f ca="1">SUMPRODUCT($I$5:$I51,$AM$5:$AM51)</f>
        <v>-1466358.1820306571</v>
      </c>
      <c r="AO53" s="24">
        <f ca="1">SUMPRODUCT($I$5:$I51,$AO$5:$AO51)</f>
        <v>56784696.187319778</v>
      </c>
      <c r="AP53" s="24">
        <f ca="1">SUMPRODUCT($I$5:$I51,$AP$5:$AP51)</f>
        <v>56784696.187319778</v>
      </c>
    </row>
    <row r="54" spans="1:42" ht="11.25" customHeight="1" x14ac:dyDescent="0.25">
      <c r="K54" s="16" t="s">
        <v>488</v>
      </c>
      <c r="L54" s="13">
        <f>'TR TUSD'!$L$56</f>
        <v>0</v>
      </c>
      <c r="M54" s="13">
        <f>'TR TUSD'!$M$56</f>
        <v>133762.32262577442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11535786.343379999</v>
      </c>
      <c r="R54" s="13">
        <f>'TR TUSD'!$R$56</f>
        <v>2028549.6268199999</v>
      </c>
      <c r="S54" s="13">
        <f>'TR TUSD'!$S$56</f>
        <v>0</v>
      </c>
      <c r="T54" s="13">
        <f>'TR TUSD'!$T$56</f>
        <v>13698098.292825773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11589713.29614</v>
      </c>
      <c r="Z54" s="13">
        <f>'TR TUSD'!$Z$56</f>
        <v>0</v>
      </c>
      <c r="AA54" s="13">
        <f>'TR TUSD'!$AA$56</f>
        <v>0</v>
      </c>
      <c r="AB54" s="13">
        <f>'TR TUSD'!$AB$56</f>
        <v>11589713.29614</v>
      </c>
      <c r="AC54" s="13">
        <f>'TR TUSD'!$AC$56</f>
        <v>30237728.700547267</v>
      </c>
      <c r="AD54" s="13">
        <f>'TR TUSD'!$AD$56</f>
        <v>30237728.700547267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1259155.8978067304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1259155.8978067304</v>
      </c>
      <c r="AM54" s="13">
        <f>'TUSD BE'!$AM$54</f>
        <v>56784696.18731977</v>
      </c>
      <c r="AO54" s="24">
        <f>$AE$55</f>
        <v>0</v>
      </c>
      <c r="AP54" s="24">
        <f>$AF$55</f>
        <v>0</v>
      </c>
    </row>
    <row r="55" spans="1:42" ht="11.25" customHeight="1" x14ac:dyDescent="0.25">
      <c r="K55" s="16" t="s">
        <v>489</v>
      </c>
      <c r="L55" s="13">
        <f>CUSTOS!$E$2</f>
        <v>0</v>
      </c>
      <c r="M55" s="13">
        <f>CUSTOS!$E$3</f>
        <v>-3652.6782808927237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-349542.0553979844</v>
      </c>
      <c r="R55" s="13">
        <f>CUSTOS!$E$8</f>
        <v>-61869.648417803073</v>
      </c>
      <c r="S55" s="13">
        <f>CUSTOS!$E$9</f>
        <v>0</v>
      </c>
      <c r="T55" s="13">
        <f>CUSTOS!$E$10</f>
        <v>-415064.38209668017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365137.38193692808</v>
      </c>
      <c r="Z55" s="13">
        <f>CUSTOS!$E$16</f>
        <v>0</v>
      </c>
      <c r="AA55" s="13">
        <f>CUSTOS!$E$17</f>
        <v>0</v>
      </c>
      <c r="AB55" s="13">
        <f>CUSTOS!$E$18</f>
        <v>365137.38193692808</v>
      </c>
      <c r="AC55" s="13">
        <f>CUSTOS!$E$19</f>
        <v>-1327071.3845209642</v>
      </c>
      <c r="AD55" s="13">
        <f>CUSTOS!$E$20</f>
        <v>-1327071.3845209642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-89359.797349940214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-89359.797349940214</v>
      </c>
      <c r="AM55" s="13">
        <f>CUSTOS!$E$29</f>
        <v>-1466358.1820306566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490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565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54" priority="55" operator="notEqual">
      <formula>$L$55</formula>
    </cfRule>
    <cfRule type="cellIs" dxfId="853" priority="56" operator="equal">
      <formula>$L$55</formula>
    </cfRule>
  </conditionalFormatting>
  <conditionalFormatting sqref="M53">
    <cfRule type="cellIs" dxfId="852" priority="53" operator="notEqual">
      <formula>$M$55</formula>
    </cfRule>
    <cfRule type="cellIs" dxfId="851" priority="54" operator="equal">
      <formula>$M$55</formula>
    </cfRule>
  </conditionalFormatting>
  <conditionalFormatting sqref="N53">
    <cfRule type="cellIs" dxfId="850" priority="51" operator="notEqual">
      <formula>$N$55</formula>
    </cfRule>
    <cfRule type="cellIs" dxfId="849" priority="52" operator="equal">
      <formula>$N$55</formula>
    </cfRule>
  </conditionalFormatting>
  <conditionalFormatting sqref="O53">
    <cfRule type="cellIs" dxfId="848" priority="49" operator="notEqual">
      <formula>$O$55</formula>
    </cfRule>
    <cfRule type="cellIs" dxfId="847" priority="50" operator="equal">
      <formula>$O$55</formula>
    </cfRule>
  </conditionalFormatting>
  <conditionalFormatting sqref="P53">
    <cfRule type="cellIs" dxfId="846" priority="47" operator="notEqual">
      <formula>$P$55</formula>
    </cfRule>
    <cfRule type="cellIs" dxfId="845" priority="48" operator="equal">
      <formula>$P$55</formula>
    </cfRule>
  </conditionalFormatting>
  <conditionalFormatting sqref="Q53">
    <cfRule type="cellIs" dxfId="844" priority="45" operator="notEqual">
      <formula>$Q$55</formula>
    </cfRule>
    <cfRule type="cellIs" dxfId="843" priority="46" operator="equal">
      <formula>$Q$55</formula>
    </cfRule>
  </conditionalFormatting>
  <conditionalFormatting sqref="R53">
    <cfRule type="cellIs" dxfId="842" priority="43" operator="notEqual">
      <formula>$R$55</formula>
    </cfRule>
    <cfRule type="cellIs" dxfId="841" priority="44" operator="equal">
      <formula>$R$55</formula>
    </cfRule>
  </conditionalFormatting>
  <conditionalFormatting sqref="S53">
    <cfRule type="cellIs" dxfId="840" priority="41" operator="notEqual">
      <formula>$S$55</formula>
    </cfRule>
    <cfRule type="cellIs" dxfId="839" priority="42" operator="equal">
      <formula>$S$55</formula>
    </cfRule>
  </conditionalFormatting>
  <conditionalFormatting sqref="T53">
    <cfRule type="cellIs" dxfId="838" priority="39" operator="notEqual">
      <formula>$T$55</formula>
    </cfRule>
    <cfRule type="cellIs" dxfId="837" priority="40" operator="equal">
      <formula>$T$55</formula>
    </cfRule>
  </conditionalFormatting>
  <conditionalFormatting sqref="U53">
    <cfRule type="cellIs" dxfId="836" priority="37" operator="notEqual">
      <formula>$U$55</formula>
    </cfRule>
    <cfRule type="cellIs" dxfId="835" priority="38" operator="equal">
      <formula>$U$55</formula>
    </cfRule>
  </conditionalFormatting>
  <conditionalFormatting sqref="V53">
    <cfRule type="cellIs" dxfId="834" priority="35" operator="notEqual">
      <formula>$V$55</formula>
    </cfRule>
    <cfRule type="cellIs" dxfId="833" priority="36" operator="equal">
      <formula>$V$55</formula>
    </cfRule>
  </conditionalFormatting>
  <conditionalFormatting sqref="W53">
    <cfRule type="cellIs" dxfId="832" priority="33" operator="notEqual">
      <formula>$W$55</formula>
    </cfRule>
    <cfRule type="cellIs" dxfId="831" priority="34" operator="equal">
      <formula>$W$55</formula>
    </cfRule>
  </conditionalFormatting>
  <conditionalFormatting sqref="X53">
    <cfRule type="cellIs" dxfId="830" priority="31" operator="notEqual">
      <formula>$X$55</formula>
    </cfRule>
    <cfRule type="cellIs" dxfId="829" priority="32" operator="equal">
      <formula>$X$55</formula>
    </cfRule>
  </conditionalFormatting>
  <conditionalFormatting sqref="Y53">
    <cfRule type="cellIs" dxfId="828" priority="29" operator="notEqual">
      <formula>$Y$55</formula>
    </cfRule>
    <cfRule type="cellIs" dxfId="827" priority="30" operator="equal">
      <formula>$Y$55</formula>
    </cfRule>
  </conditionalFormatting>
  <conditionalFormatting sqref="Z53">
    <cfRule type="cellIs" dxfId="826" priority="27" operator="notEqual">
      <formula>$Z$55</formula>
    </cfRule>
    <cfRule type="cellIs" dxfId="825" priority="28" operator="equal">
      <formula>$Z$55</formula>
    </cfRule>
  </conditionalFormatting>
  <conditionalFormatting sqref="AA53">
    <cfRule type="cellIs" dxfId="824" priority="25" operator="notEqual">
      <formula>$AA$55</formula>
    </cfRule>
    <cfRule type="cellIs" dxfId="823" priority="26" operator="equal">
      <formula>$AA$55</formula>
    </cfRule>
  </conditionalFormatting>
  <conditionalFormatting sqref="AB53">
    <cfRule type="cellIs" dxfId="822" priority="23" operator="notEqual">
      <formula>$AB$55</formula>
    </cfRule>
    <cfRule type="cellIs" dxfId="821" priority="24" operator="equal">
      <formula>$AB$55</formula>
    </cfRule>
  </conditionalFormatting>
  <conditionalFormatting sqref="AC53">
    <cfRule type="cellIs" dxfId="820" priority="21" operator="notEqual">
      <formula>$AC$55</formula>
    </cfRule>
    <cfRule type="cellIs" dxfId="819" priority="22" operator="equal">
      <formula>$AC$55</formula>
    </cfRule>
  </conditionalFormatting>
  <conditionalFormatting sqref="AD53">
    <cfRule type="cellIs" dxfId="818" priority="19" operator="notEqual">
      <formula>$AD$55</formula>
    </cfRule>
    <cfRule type="cellIs" dxfId="817" priority="20" operator="equal">
      <formula>$AD$55</formula>
    </cfRule>
  </conditionalFormatting>
  <conditionalFormatting sqref="AE53">
    <cfRule type="cellIs" dxfId="816" priority="17" operator="notEqual">
      <formula>$AE$55</formula>
    </cfRule>
    <cfRule type="cellIs" dxfId="815" priority="18" operator="equal">
      <formula>$AE$55</formula>
    </cfRule>
  </conditionalFormatting>
  <conditionalFormatting sqref="AF53">
    <cfRule type="cellIs" dxfId="814" priority="16" operator="equal">
      <formula>$AF$55</formula>
    </cfRule>
  </conditionalFormatting>
  <conditionalFormatting sqref="AF53">
    <cfRule type="cellIs" dxfId="813" priority="15" operator="notEqual">
      <formula>$AF$55</formula>
    </cfRule>
  </conditionalFormatting>
  <conditionalFormatting sqref="AG53">
    <cfRule type="cellIs" dxfId="812" priority="14" operator="equal">
      <formula>$AG$55</formula>
    </cfRule>
  </conditionalFormatting>
  <conditionalFormatting sqref="AG53">
    <cfRule type="cellIs" dxfId="811" priority="13" operator="notEqual">
      <formula>$AG$55</formula>
    </cfRule>
  </conditionalFormatting>
  <conditionalFormatting sqref="AH53">
    <cfRule type="cellIs" dxfId="810" priority="12" operator="equal">
      <formula>$AH$55</formula>
    </cfRule>
  </conditionalFormatting>
  <conditionalFormatting sqref="AH53">
    <cfRule type="cellIs" dxfId="809" priority="11" operator="notEqual">
      <formula>$AH$55</formula>
    </cfRule>
  </conditionalFormatting>
  <conditionalFormatting sqref="AI53">
    <cfRule type="cellIs" dxfId="808" priority="10" operator="equal">
      <formula>$AI$55</formula>
    </cfRule>
  </conditionalFormatting>
  <conditionalFormatting sqref="AI53">
    <cfRule type="cellIs" dxfId="807" priority="9" operator="notEqual">
      <formula>$AI$55</formula>
    </cfRule>
  </conditionalFormatting>
  <conditionalFormatting sqref="AJ53">
    <cfRule type="cellIs" dxfId="806" priority="8" operator="equal">
      <formula>$AJ$55</formula>
    </cfRule>
  </conditionalFormatting>
  <conditionalFormatting sqref="AJ53">
    <cfRule type="cellIs" dxfId="805" priority="7" operator="notEqual">
      <formula>$AJ$55</formula>
    </cfRule>
  </conditionalFormatting>
  <conditionalFormatting sqref="AK53">
    <cfRule type="cellIs" dxfId="804" priority="6" operator="equal">
      <formula>$AK$55</formula>
    </cfRule>
  </conditionalFormatting>
  <conditionalFormatting sqref="AK53">
    <cfRule type="cellIs" dxfId="803" priority="5" operator="notEqual">
      <formula>$AK$55</formula>
    </cfRule>
  </conditionalFormatting>
  <conditionalFormatting sqref="AL53">
    <cfRule type="cellIs" dxfId="802" priority="4" operator="equal">
      <formula>$AL$55</formula>
    </cfRule>
  </conditionalFormatting>
  <conditionalFormatting sqref="AL53">
    <cfRule type="cellIs" dxfId="801" priority="3" operator="notEqual">
      <formula>$AL$55</formula>
    </cfRule>
  </conditionalFormatting>
  <conditionalFormatting sqref="AM53">
    <cfRule type="cellIs" dxfId="800" priority="2" operator="equal">
      <formula>$AM$55</formula>
    </cfRule>
  </conditionalFormatting>
  <conditionalFormatting sqref="AM53">
    <cfRule type="cellIs" dxfId="799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F92-A89A-4F99-BD3D-E23A405D9F1A}">
  <dimension ref="A1:AP57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4" width="4.140625" style="9" bestFit="1" customWidth="1"/>
    <col min="15" max="16" width="4.8554687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567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549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/>
      <c r="U3" s="92" t="s">
        <v>456</v>
      </c>
      <c r="V3" s="92"/>
      <c r="W3" s="92"/>
      <c r="X3" s="92"/>
      <c r="Y3" s="92"/>
      <c r="Z3" s="92"/>
      <c r="AA3" s="92"/>
      <c r="AB3" s="92"/>
      <c r="AC3" s="92" t="s">
        <v>464</v>
      </c>
      <c r="AD3" s="92"/>
      <c r="AE3" s="92" t="s">
        <v>466</v>
      </c>
      <c r="AF3" s="92"/>
      <c r="AG3" s="92"/>
      <c r="AH3" s="92" t="s">
        <v>469</v>
      </c>
      <c r="AI3" s="92"/>
      <c r="AJ3" s="92"/>
      <c r="AK3" s="92"/>
      <c r="AL3" s="92"/>
      <c r="AM3" s="92" t="s">
        <v>455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455</v>
      </c>
      <c r="U4" s="10" t="s">
        <v>457</v>
      </c>
      <c r="V4" s="10" t="s">
        <v>458</v>
      </c>
      <c r="W4" s="10" t="s">
        <v>459</v>
      </c>
      <c r="X4" s="10" t="s">
        <v>460</v>
      </c>
      <c r="Y4" s="10" t="s">
        <v>461</v>
      </c>
      <c r="Z4" s="10" t="s">
        <v>462</v>
      </c>
      <c r="AA4" s="10" t="s">
        <v>463</v>
      </c>
      <c r="AB4" s="10" t="s">
        <v>455</v>
      </c>
      <c r="AC4" s="10" t="s">
        <v>465</v>
      </c>
      <c r="AD4" s="10" t="s">
        <v>455</v>
      </c>
      <c r="AE4" s="10" t="s">
        <v>467</v>
      </c>
      <c r="AF4" s="10" t="s">
        <v>468</v>
      </c>
      <c r="AG4" s="10" t="s">
        <v>455</v>
      </c>
      <c r="AH4" s="10" t="s">
        <v>470</v>
      </c>
      <c r="AI4" s="10" t="s">
        <v>471</v>
      </c>
      <c r="AJ4" s="10" t="s">
        <v>472</v>
      </c>
      <c r="AK4" s="10" t="s">
        <v>473</v>
      </c>
      <c r="AL4" s="10" t="s">
        <v>455</v>
      </c>
      <c r="AM4" s="94"/>
      <c r="AO4" s="27" t="s">
        <v>566</v>
      </c>
      <c r="AP4" s="98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107.84774646338855</v>
      </c>
      <c r="AP5" s="26">
        <f ca="1">+'TUSD BE'!$T$5+'TUSD BE'!$AB$5+'TUSD BE'!$AD$5+'TUSD BE'!$AL$5</f>
        <v>107.84774646338855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38.154888934888497</v>
      </c>
      <c r="AP6" s="26">
        <f ca="1">+'TUSD BE'!$T$6+'TUSD BE'!$AB$6+'TUSD BE'!$AD$6+'TUSD BE'!$AL$6</f>
        <v>38.154888934888497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97.743968471293215</v>
      </c>
      <c r="AP7" s="26">
        <f ca="1">+'TUSD BE'!$T$7+'TUSD BE'!$AB$7+'TUSD BE'!$AD$7+'TUSD BE'!$AL$7</f>
        <v>97.743968471293215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6.9567200204779951</v>
      </c>
      <c r="AP8" s="26">
        <f ca="1">+'TUSD BE'!$T$8+'TUSD BE'!$AB$8+'TUSD BE'!$AD$8+'TUSD BE'!$AL$8</f>
        <v>6.9567200204779951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12.116647405306496</v>
      </c>
      <c r="AP9" s="26">
        <f ca="1">+'TUSD BE'!$T$9+'TUSD BE'!$AB$9+'TUSD BE'!$AD$9+'TUSD BE'!$AL$9</f>
        <v>12.116647405306496</v>
      </c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38.154888934888497</v>
      </c>
      <c r="AP10" s="26">
        <f ca="1">+'TUSD BE'!$T$10+'TUSD BE'!$AB$10+'TUSD BE'!$AD$10+'TUSD BE'!$AL$10</f>
        <v>38.154888934888497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2691.8569002161721</v>
      </c>
      <c r="AP11" s="26">
        <f ca="1">+'TUSD BE'!$T$11+'TUSD BE'!$AB$11+'TUSD BE'!$AD$11+'TUSD BE'!$AL$11</f>
        <v>2691.8569002161721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97.743968471293215</v>
      </c>
      <c r="AP12" s="26">
        <f ca="1">+'TUSD BE'!$T$12+'TUSD BE'!$AB$12+'TUSD BE'!$AD$12+'TUSD BE'!$AL$12</f>
        <v>97.743968471293215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2601.0696517653569</v>
      </c>
      <c r="AP13" s="26">
        <f ca="1">+'TUSD BE'!$T$13+'TUSD BE'!$AB$13+'TUSD BE'!$AD$13+'TUSD BE'!$AL$13</f>
        <v>2601.0696517653569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6.9567200204779951</v>
      </c>
      <c r="AP14" s="26">
        <f ca="1">+'TUSD BE'!$T$14+'TUSD BE'!$AB$14+'TUSD BE'!$AD$14+'TUSD BE'!$AL$14</f>
        <v>6.9567200204779951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6.9600917394057449</v>
      </c>
      <c r="AP15" s="26">
        <f ca="1">+'TUSD BE'!$T$15+'TUSD BE'!$AB$15+'TUSD BE'!$AD$15+'TUSD BE'!$AL$15</f>
        <v>6.9600917394057449</v>
      </c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20.703128729795242</v>
      </c>
      <c r="AP16" s="26">
        <f ca="1">+'TUSD BE'!$T$16+'TUSD BE'!$AB$16+'TUSD BE'!$AD$16+'TUSD BE'!$AL$16</f>
        <v>20.703128729795242</v>
      </c>
    </row>
    <row r="17" spans="1:42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1438.4656169304467</v>
      </c>
      <c r="AP17" s="26">
        <f ca="1">+'TUSD BE'!$T$17+'TUSD BE'!$AB$17+'TUSD BE'!$AD$17+'TUSD BE'!$AL$17</f>
        <v>1438.4656169304467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911.10625407653117</v>
      </c>
      <c r="AP18" s="26">
        <f ca="1">+'TUSD BE'!$T$18+'TUSD BE'!$AB$18+'TUSD BE'!$AD$18+'TUSD BE'!$AL$18</f>
        <v>911.10625407653117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383.70455290685283</v>
      </c>
      <c r="AP19" s="26">
        <f ca="1">+'TUSD BE'!$T$19+'TUSD BE'!$AB$19+'TUSD BE'!$AD$19+'TUSD BE'!$AL$19</f>
        <v>383.70455290685283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608.33944996592675</v>
      </c>
      <c r="AP20" s="26">
        <f ca="1">+'TUSD BE'!$T$20+'TUSD BE'!$AB$20+'TUSD BE'!$AD$20+'TUSD BE'!$AL$20</f>
        <v>608.33944996592675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502.99486789415073</v>
      </c>
      <c r="AP21" s="26">
        <f ca="1">+'TUSD BE'!$T$21+'TUSD BE'!$AB$21+'TUSD BE'!$AD$21+'TUSD BE'!$AL$21</f>
        <v>502.99486789415073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502.99486789415073</v>
      </c>
      <c r="AP22" s="26">
        <f ca="1">+'TUSD BE'!$T$22+'TUSD BE'!$AB$22+'TUSD BE'!$AD$22+'TUSD BE'!$AL$22</f>
        <v>502.99486789415073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502.99486789415073</v>
      </c>
      <c r="AP23" s="26">
        <f ca="1">+'TUSD BE'!$T$23+'TUSD BE'!$AB$23+'TUSD BE'!$AD$23+'TUSD BE'!$AL$23</f>
        <v>502.99486789415073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502.99486789415073</v>
      </c>
      <c r="AP24" s="26">
        <f ca="1">+'TUSD BE'!$T$24+'TUSD BE'!$AB$24+'TUSD BE'!$AD$24+'TUSD BE'!$AL$24</f>
        <v>502.99486789415073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608.33944996592675</v>
      </c>
      <c r="AP25" s="26">
        <f ca="1">+'TUSD BE'!$T$25+'TUSD BE'!$AB$25+'TUSD BE'!$AD$25+'TUSD BE'!$AL$25</f>
        <v>608.33944996592675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502.99486789415073</v>
      </c>
      <c r="AP26" s="26">
        <f ca="1">+'TUSD BE'!$T$26+'TUSD BE'!$AB$26+'TUSD BE'!$AD$26+'TUSD BE'!$AL$26</f>
        <v>502.99486789415073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502.99486789415073</v>
      </c>
      <c r="AP27" s="26">
        <f ca="1">+'TUSD BE'!$T$27+'TUSD BE'!$AB$27+'TUSD BE'!$AD$27+'TUSD BE'!$AL$27</f>
        <v>502.99486789415073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502.99486789415073</v>
      </c>
      <c r="AP28" s="26">
        <f ca="1">+'TUSD BE'!$T$28+'TUSD BE'!$AB$28+'TUSD BE'!$AD$28+'TUSD BE'!$AL$28</f>
        <v>502.99486789415073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502.99486789415073</v>
      </c>
      <c r="AP29" s="26">
        <f ca="1">+'TUSD BE'!$T$29+'TUSD BE'!$AB$29+'TUSD BE'!$AD$29+'TUSD BE'!$AL$29</f>
        <v>502.99486789415073</v>
      </c>
    </row>
    <row r="30" spans="1:42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1560.5862278712634</v>
      </c>
      <c r="AP30" s="26">
        <f ca="1">+'TUSD BE'!$T$30+'TUSD BE'!$AB$30+'TUSD BE'!$AD$30+'TUSD BE'!$AL$30</f>
        <v>1560.5862278712634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984.29473760193105</v>
      </c>
      <c r="AP31" s="26">
        <f ca="1">+'TUSD BE'!$T$31+'TUSD BE'!$AB$31+'TUSD BE'!$AD$31+'TUSD BE'!$AL$31</f>
        <v>984.29473760193105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408.12893962582774</v>
      </c>
      <c r="AP32" s="26">
        <f ca="1">+'TUSD BE'!$T$32+'TUSD BE'!$AB$32+'TUSD BE'!$AD$32+'TUSD BE'!$AL$32</f>
        <v>408.12893962582774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608.33944996592675</v>
      </c>
      <c r="AP33" s="26">
        <f ca="1">+'TUSD BE'!$T$33+'TUSD BE'!$AB$33+'TUSD BE'!$AD$33+'TUSD BE'!$AL$33</f>
        <v>608.33944996592675</v>
      </c>
    </row>
    <row r="34" spans="1:42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1560.5862278712634</v>
      </c>
      <c r="AP34" s="26">
        <f ca="1">+'TUSD BE'!$T$34+'TUSD BE'!$AB$34+'TUSD BE'!$AD$34+'TUSD BE'!$AL$34</f>
        <v>1560.5862278712634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984.29473760193105</v>
      </c>
      <c r="AP35" s="26">
        <f ca="1">+'TUSD BE'!$T$35+'TUSD BE'!$AB$35+'TUSD BE'!$AD$35+'TUSD BE'!$AL$35</f>
        <v>984.29473760193105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408.12893962582774</v>
      </c>
      <c r="AP36" s="26">
        <f ca="1">+'TUSD BE'!$T$36+'TUSD BE'!$AB$36+'TUSD BE'!$AD$36+'TUSD BE'!$AL$36</f>
        <v>408.12893962582774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608.33944996592675</v>
      </c>
      <c r="AP37" s="26">
        <f ca="1">+'TUSD BE'!$T$37+'TUSD BE'!$AB$37+'TUSD BE'!$AD$37+'TUSD BE'!$AL$37</f>
        <v>608.33944996592675</v>
      </c>
    </row>
    <row r="38" spans="1:42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1560.5862278712634</v>
      </c>
      <c r="AP38" s="26">
        <f ca="1">+'TUSD BE'!$T$38+'TUSD BE'!$AB$38+'TUSD BE'!$AD$38+'TUSD BE'!$AL$38</f>
        <v>1560.5862278712634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984.29473760193105</v>
      </c>
      <c r="AP39" s="26">
        <f ca="1">+'TUSD BE'!$T$39+'TUSD BE'!$AB$39+'TUSD BE'!$AD$39+'TUSD BE'!$AL$39</f>
        <v>984.29473760193105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408.12893962582774</v>
      </c>
      <c r="AP40" s="26">
        <f ca="1">+'TUSD BE'!$T$40+'TUSD BE'!$AB$40+'TUSD BE'!$AD$40+'TUSD BE'!$AL$40</f>
        <v>408.12893962582774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608.33944996592675</v>
      </c>
      <c r="AP41" s="26">
        <f ca="1">+'TUSD BE'!$T$41+'TUSD BE'!$AB$41+'TUSD BE'!$AD$41+'TUSD BE'!$AL$41</f>
        <v>608.33944996592675</v>
      </c>
    </row>
    <row r="42" spans="1:42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608.33944996592675</v>
      </c>
      <c r="AP42" s="26">
        <f ca="1">+'TUSD BE'!$T$42+'TUSD BE'!$AB$42+'TUSD BE'!$AD$42+'TUSD BE'!$AL$42</f>
        <v>608.33944996592675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608.33944996592675</v>
      </c>
      <c r="AP43" s="26">
        <f ca="1">+'TUSD BE'!$T$43+'TUSD BE'!$AB$43+'TUSD BE'!$AD$43+'TUSD BE'!$AL$43</f>
        <v>608.33944996592675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608.33944996592675</v>
      </c>
      <c r="AP44" s="26">
        <f ca="1">+'TUSD BE'!$T$44+'TUSD BE'!$AB$44+'TUSD BE'!$AD$44+'TUSD BE'!$AL$44</f>
        <v>608.33944996592675</v>
      </c>
    </row>
    <row r="45" spans="1:42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1780.3193783929403</v>
      </c>
      <c r="AP45" s="26">
        <f ca="1">+'TUSD BE'!$T$45+'TUSD BE'!$AB$45+'TUSD BE'!$AD$45+'TUSD BE'!$AL$45</f>
        <v>1780.3193783929403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1116.1765033017791</v>
      </c>
      <c r="AP46" s="26">
        <f ca="1">+'TUSD BE'!$T$46+'TUSD BE'!$AB$46+'TUSD BE'!$AD$46+'TUSD BE'!$AL$46</f>
        <v>1116.1765033017791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452.07563586286602</v>
      </c>
      <c r="AP47" s="26">
        <f ca="1">+'TUSD BE'!$T$47+'TUSD BE'!$AB$47+'TUSD BE'!$AD$47+'TUSD BE'!$AL$47</f>
        <v>452.07563586286602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608.33944996592675</v>
      </c>
      <c r="AP48" s="26">
        <f ca="1">+'TUSD BE'!$T$48+'TUSD BE'!$AB$48+'TUSD BE'!$AD$48+'TUSD BE'!$AL$48</f>
        <v>608.33944996592675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608.33944996592675</v>
      </c>
      <c r="AP49" s="26">
        <f ca="1">+'TUSD BE'!$T$49+'TUSD BE'!$AB$49+'TUSD BE'!$AD$49+'TUSD BE'!$AL$49</f>
        <v>608.33944996592675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334.58669748125976</v>
      </c>
      <c r="AP50" s="26">
        <f ca="1">+'TUSD BE'!$T$50+'TUSD BE'!$AB$50+'TUSD BE'!$AD$50+'TUSD BE'!$AL$50</f>
        <v>334.58669748125976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365.00366997955604</v>
      </c>
      <c r="AP51" s="26">
        <f ca="1">+'TUSD BE'!$T$51+'TUSD BE'!$AB$51+'TUSD BE'!$AD$51+'TUSD BE'!$AL$51</f>
        <v>365.00366997955604</v>
      </c>
    </row>
    <row r="53" spans="1:42" ht="11.25" customHeight="1" x14ac:dyDescent="0.25">
      <c r="K53" s="16" t="s">
        <v>556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56784696.187319778</v>
      </c>
      <c r="AP53" s="24">
        <f ca="1">SUMPRODUCT($I$5:$I51,$AP$5:$AP51)</f>
        <v>56784696.187319778</v>
      </c>
    </row>
    <row r="54" spans="1:42" ht="11.25" customHeight="1" x14ac:dyDescent="0.25">
      <c r="K54" s="16" t="s">
        <v>488</v>
      </c>
      <c r="L54" s="13">
        <f>'TR TUSD'!$L$56</f>
        <v>0</v>
      </c>
      <c r="M54" s="13">
        <f>'TR TUSD'!$M$56</f>
        <v>133762.32262577442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11535786.343379999</v>
      </c>
      <c r="R54" s="13">
        <f>'TR TUSD'!$R$56</f>
        <v>2028549.6268199999</v>
      </c>
      <c r="S54" s="13">
        <f>'TR TUSD'!$S$56</f>
        <v>0</v>
      </c>
      <c r="T54" s="13">
        <f>'TR TUSD'!$T$56</f>
        <v>13698098.292825773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11589713.29614</v>
      </c>
      <c r="Z54" s="13">
        <f>'TR TUSD'!$Z$56</f>
        <v>0</v>
      </c>
      <c r="AA54" s="13">
        <f>'TR TUSD'!$AA$56</f>
        <v>0</v>
      </c>
      <c r="AB54" s="13">
        <f>'TR TUSD'!$AB$56</f>
        <v>11589713.29614</v>
      </c>
      <c r="AC54" s="13">
        <f>'TR TUSD'!$AC$56</f>
        <v>30237728.700547267</v>
      </c>
      <c r="AD54" s="13">
        <f>'TR TUSD'!$AD$56</f>
        <v>30237728.700547267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1259155.8978067304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1259155.8978067304</v>
      </c>
      <c r="AM54" s="13">
        <f>CUSTOS!$D$29</f>
        <v>56784696.18731977</v>
      </c>
      <c r="AO54" s="24">
        <f>$AE$56</f>
        <v>0</v>
      </c>
      <c r="AP54" s="24">
        <f>$AF$56</f>
        <v>0</v>
      </c>
    </row>
    <row r="55" spans="1:42" ht="11.25" customHeight="1" x14ac:dyDescent="0.25">
      <c r="K55" s="16" t="s">
        <v>489</v>
      </c>
      <c r="L55" s="13">
        <f>CUSTOS!$E$2</f>
        <v>0</v>
      </c>
      <c r="M55" s="13">
        <f>CUSTOS!$E$3</f>
        <v>-3652.6782808927237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-349542.0553979844</v>
      </c>
      <c r="R55" s="13">
        <f>CUSTOS!$E$8</f>
        <v>-61869.648417803073</v>
      </c>
      <c r="S55" s="13">
        <f>CUSTOS!$E$9</f>
        <v>0</v>
      </c>
      <c r="T55" s="13">
        <f>CUSTOS!$E$10</f>
        <v>-415064.38209668017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365137.38193692808</v>
      </c>
      <c r="Z55" s="13">
        <f>CUSTOS!$E$16</f>
        <v>0</v>
      </c>
      <c r="AA55" s="13">
        <f>CUSTOS!$E$17</f>
        <v>0</v>
      </c>
      <c r="AB55" s="13">
        <f>CUSTOS!$E$18</f>
        <v>365137.38193692808</v>
      </c>
      <c r="AC55" s="13">
        <f>CUSTOS!$E$19</f>
        <v>-1327071.3845209642</v>
      </c>
      <c r="AD55" s="13">
        <f>CUSTOS!$E$20</f>
        <v>-1327071.3845209642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-89359.797349940214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-89359.797349940214</v>
      </c>
      <c r="AM55" s="13">
        <f>CUSTOS!$E$29</f>
        <v>-1466358.1820306566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490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98" priority="55" operator="notEqual">
      <formula>$L$56</formula>
    </cfRule>
    <cfRule type="cellIs" dxfId="797" priority="56" operator="equal">
      <formula>$L$56</formula>
    </cfRule>
  </conditionalFormatting>
  <conditionalFormatting sqref="M53">
    <cfRule type="cellIs" dxfId="796" priority="53" operator="notEqual">
      <formula>$M$56</formula>
    </cfRule>
    <cfRule type="cellIs" dxfId="795" priority="54" operator="equal">
      <formula>$M$56</formula>
    </cfRule>
  </conditionalFormatting>
  <conditionalFormatting sqref="N53">
    <cfRule type="cellIs" dxfId="794" priority="51" operator="notEqual">
      <formula>$N$56</formula>
    </cfRule>
    <cfRule type="cellIs" dxfId="793" priority="52" operator="equal">
      <formula>$N$56</formula>
    </cfRule>
  </conditionalFormatting>
  <conditionalFormatting sqref="O53">
    <cfRule type="cellIs" dxfId="792" priority="49" operator="notEqual">
      <formula>$O$56</formula>
    </cfRule>
    <cfRule type="cellIs" dxfId="791" priority="50" operator="equal">
      <formula>$O$56</formula>
    </cfRule>
  </conditionalFormatting>
  <conditionalFormatting sqref="P53">
    <cfRule type="cellIs" dxfId="790" priority="47" operator="notEqual">
      <formula>$P$56</formula>
    </cfRule>
    <cfRule type="cellIs" dxfId="789" priority="48" operator="equal">
      <formula>$P$56</formula>
    </cfRule>
  </conditionalFormatting>
  <conditionalFormatting sqref="Q53">
    <cfRule type="cellIs" dxfId="788" priority="45" operator="notEqual">
      <formula>$Q$56</formula>
    </cfRule>
    <cfRule type="cellIs" dxfId="787" priority="46" operator="equal">
      <formula>$Q$56</formula>
    </cfRule>
  </conditionalFormatting>
  <conditionalFormatting sqref="R53">
    <cfRule type="cellIs" dxfId="786" priority="43" operator="notEqual">
      <formula>$R$56</formula>
    </cfRule>
    <cfRule type="cellIs" dxfId="785" priority="44" operator="equal">
      <formula>$R$56</formula>
    </cfRule>
  </conditionalFormatting>
  <conditionalFormatting sqref="S53">
    <cfRule type="cellIs" dxfId="784" priority="41" operator="notEqual">
      <formula>$S$56</formula>
    </cfRule>
    <cfRule type="cellIs" dxfId="783" priority="42" operator="equal">
      <formula>$S$56</formula>
    </cfRule>
  </conditionalFormatting>
  <conditionalFormatting sqref="T53">
    <cfRule type="cellIs" dxfId="782" priority="39" operator="notEqual">
      <formula>$T$56</formula>
    </cfRule>
    <cfRule type="cellIs" dxfId="781" priority="40" operator="equal">
      <formula>$T$56</formula>
    </cfRule>
  </conditionalFormatting>
  <conditionalFormatting sqref="U53">
    <cfRule type="cellIs" dxfId="780" priority="37" operator="notEqual">
      <formula>$U$56</formula>
    </cfRule>
    <cfRule type="cellIs" dxfId="779" priority="38" operator="equal">
      <formula>$U$56</formula>
    </cfRule>
  </conditionalFormatting>
  <conditionalFormatting sqref="V53">
    <cfRule type="cellIs" dxfId="778" priority="35" operator="notEqual">
      <formula>$V$56</formula>
    </cfRule>
    <cfRule type="cellIs" dxfId="777" priority="36" operator="equal">
      <formula>$V$56</formula>
    </cfRule>
  </conditionalFormatting>
  <conditionalFormatting sqref="W53">
    <cfRule type="cellIs" dxfId="776" priority="33" operator="notEqual">
      <formula>$W$56</formula>
    </cfRule>
    <cfRule type="cellIs" dxfId="775" priority="34" operator="equal">
      <formula>$W$56</formula>
    </cfRule>
  </conditionalFormatting>
  <conditionalFormatting sqref="X53">
    <cfRule type="cellIs" dxfId="774" priority="31" operator="notEqual">
      <formula>$X$56</formula>
    </cfRule>
    <cfRule type="cellIs" dxfId="773" priority="32" operator="equal">
      <formula>$X$56</formula>
    </cfRule>
  </conditionalFormatting>
  <conditionalFormatting sqref="Y53">
    <cfRule type="cellIs" dxfId="772" priority="29" operator="notEqual">
      <formula>$Y$56</formula>
    </cfRule>
    <cfRule type="cellIs" dxfId="771" priority="30" operator="equal">
      <formula>$Y$56</formula>
    </cfRule>
  </conditionalFormatting>
  <conditionalFormatting sqref="Z53">
    <cfRule type="cellIs" dxfId="770" priority="27" operator="notEqual">
      <formula>$Z$56</formula>
    </cfRule>
    <cfRule type="cellIs" dxfId="769" priority="28" operator="equal">
      <formula>$Z$56</formula>
    </cfRule>
  </conditionalFormatting>
  <conditionalFormatting sqref="AA53">
    <cfRule type="cellIs" dxfId="768" priority="25" operator="notEqual">
      <formula>$AA$56</formula>
    </cfRule>
    <cfRule type="cellIs" dxfId="767" priority="26" operator="equal">
      <formula>$AA$56</formula>
    </cfRule>
  </conditionalFormatting>
  <conditionalFormatting sqref="AB53">
    <cfRule type="cellIs" dxfId="766" priority="23" operator="notEqual">
      <formula>$AB$56</formula>
    </cfRule>
    <cfRule type="cellIs" dxfId="765" priority="24" operator="equal">
      <formula>$AB$56</formula>
    </cfRule>
  </conditionalFormatting>
  <conditionalFormatting sqref="AC53">
    <cfRule type="cellIs" dxfId="764" priority="21" operator="notEqual">
      <formula>$AC$56</formula>
    </cfRule>
    <cfRule type="cellIs" dxfId="763" priority="22" operator="equal">
      <formula>$AC$56</formula>
    </cfRule>
  </conditionalFormatting>
  <conditionalFormatting sqref="AD53">
    <cfRule type="cellIs" dxfId="762" priority="19" operator="notEqual">
      <formula>$AD$56</formula>
    </cfRule>
    <cfRule type="cellIs" dxfId="761" priority="20" operator="equal">
      <formula>$AD$56</formula>
    </cfRule>
  </conditionalFormatting>
  <conditionalFormatting sqref="AE53">
    <cfRule type="cellIs" dxfId="760" priority="17" operator="notEqual">
      <formula>$AE$56</formula>
    </cfRule>
    <cfRule type="cellIs" dxfId="759" priority="18" operator="equal">
      <formula>$AE$56</formula>
    </cfRule>
  </conditionalFormatting>
  <conditionalFormatting sqref="AF53">
    <cfRule type="cellIs" dxfId="758" priority="16" operator="equal">
      <formula>$AF$56</formula>
    </cfRule>
  </conditionalFormatting>
  <conditionalFormatting sqref="AF53">
    <cfRule type="cellIs" dxfId="757" priority="15" operator="notEqual">
      <formula>$AF$56</formula>
    </cfRule>
  </conditionalFormatting>
  <conditionalFormatting sqref="AG53">
    <cfRule type="cellIs" dxfId="756" priority="14" operator="equal">
      <formula>$AG$56</formula>
    </cfRule>
  </conditionalFormatting>
  <conditionalFormatting sqref="AG53">
    <cfRule type="cellIs" dxfId="755" priority="13" operator="notEqual">
      <formula>$AG$56</formula>
    </cfRule>
  </conditionalFormatting>
  <conditionalFormatting sqref="AH53">
    <cfRule type="cellIs" dxfId="754" priority="12" operator="equal">
      <formula>$AH$56</formula>
    </cfRule>
  </conditionalFormatting>
  <conditionalFormatting sqref="AH53">
    <cfRule type="cellIs" dxfId="753" priority="11" operator="notEqual">
      <formula>$AH$56</formula>
    </cfRule>
  </conditionalFormatting>
  <conditionalFormatting sqref="AI53">
    <cfRule type="cellIs" dxfId="752" priority="10" operator="equal">
      <formula>$AI$56</formula>
    </cfRule>
  </conditionalFormatting>
  <conditionalFormatting sqref="AI53">
    <cfRule type="cellIs" dxfId="751" priority="9" operator="notEqual">
      <formula>$AI$56</formula>
    </cfRule>
  </conditionalFormatting>
  <conditionalFormatting sqref="AJ53">
    <cfRule type="cellIs" dxfId="750" priority="8" operator="equal">
      <formula>$AJ$56</formula>
    </cfRule>
  </conditionalFormatting>
  <conditionalFormatting sqref="AJ53">
    <cfRule type="cellIs" dxfId="749" priority="7" operator="notEqual">
      <formula>$AJ$56</formula>
    </cfRule>
  </conditionalFormatting>
  <conditionalFormatting sqref="AK53">
    <cfRule type="cellIs" dxfId="748" priority="6" operator="equal">
      <formula>$AK$56</formula>
    </cfRule>
  </conditionalFormatting>
  <conditionalFormatting sqref="AK53">
    <cfRule type="cellIs" dxfId="747" priority="5" operator="notEqual">
      <formula>$AK$56</formula>
    </cfRule>
  </conditionalFormatting>
  <conditionalFormatting sqref="AL53">
    <cfRule type="cellIs" dxfId="746" priority="4" operator="equal">
      <formula>$AL$56</formula>
    </cfRule>
  </conditionalFormatting>
  <conditionalFormatting sqref="AL53">
    <cfRule type="cellIs" dxfId="745" priority="3" operator="notEqual">
      <formula>$AL$56</formula>
    </cfRule>
  </conditionalFormatting>
  <conditionalFormatting sqref="AM53">
    <cfRule type="cellIs" dxfId="744" priority="2" operator="equal">
      <formula>$AM$56</formula>
    </cfRule>
  </conditionalFormatting>
  <conditionalFormatting sqref="AM53">
    <cfRule type="cellIs" dxfId="743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60B9-6E16-4D82-8850-03BCA8CAA05A}">
  <dimension ref="A1:AB49"/>
  <sheetViews>
    <sheetView showGridLines="0" topLeftCell="A3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62</v>
      </c>
      <c r="B1" s="100" t="s">
        <v>63</v>
      </c>
      <c r="C1" s="100" t="s">
        <v>64</v>
      </c>
      <c r="D1" s="100" t="s">
        <v>65</v>
      </c>
      <c r="E1" s="100" t="s">
        <v>66</v>
      </c>
      <c r="F1" s="100" t="s">
        <v>15</v>
      </c>
      <c r="G1" s="100" t="s">
        <v>68</v>
      </c>
      <c r="H1" s="100" t="s">
        <v>69</v>
      </c>
      <c r="I1" s="100" t="s">
        <v>547</v>
      </c>
      <c r="J1" s="85"/>
      <c r="L1" s="101" t="s">
        <v>568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474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447</v>
      </c>
      <c r="M3" s="101"/>
      <c r="N3" s="101"/>
      <c r="O3" s="101"/>
      <c r="P3" s="101"/>
      <c r="Q3" s="101"/>
      <c r="R3" s="101" t="s">
        <v>478</v>
      </c>
      <c r="S3" s="101"/>
      <c r="T3" s="101" t="s">
        <v>456</v>
      </c>
      <c r="U3" s="101"/>
      <c r="V3" s="101"/>
      <c r="W3" s="101"/>
      <c r="X3" s="101" t="s">
        <v>466</v>
      </c>
      <c r="Y3" s="101"/>
      <c r="Z3" s="101" t="s">
        <v>469</v>
      </c>
      <c r="AA3" s="101"/>
      <c r="AB3" s="101" t="s">
        <v>455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449</v>
      </c>
      <c r="M4" s="30" t="s">
        <v>475</v>
      </c>
      <c r="N4" s="30" t="s">
        <v>476</v>
      </c>
      <c r="O4" s="30" t="s">
        <v>535</v>
      </c>
      <c r="P4" s="30" t="s">
        <v>477</v>
      </c>
      <c r="Q4" s="30" t="s">
        <v>455</v>
      </c>
      <c r="R4" s="30" t="s">
        <v>479</v>
      </c>
      <c r="S4" s="30" t="s">
        <v>455</v>
      </c>
      <c r="T4" s="30" t="s">
        <v>480</v>
      </c>
      <c r="U4" s="30" t="s">
        <v>481</v>
      </c>
      <c r="V4" s="30" t="s">
        <v>482</v>
      </c>
      <c r="W4" s="30" t="s">
        <v>455</v>
      </c>
      <c r="X4" s="30" t="s">
        <v>467</v>
      </c>
      <c r="Y4" s="30" t="s">
        <v>455</v>
      </c>
      <c r="Z4" s="30" t="s">
        <v>483</v>
      </c>
      <c r="AA4" s="30" t="s">
        <v>455</v>
      </c>
      <c r="AB4" s="102"/>
    </row>
    <row r="5" spans="1:28" ht="11.25" customHeight="1" x14ac:dyDescent="0.25">
      <c r="A5" s="99" t="s">
        <v>35</v>
      </c>
      <c r="B5" s="99" t="s">
        <v>71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73</v>
      </c>
      <c r="H5" s="29" t="s">
        <v>72</v>
      </c>
      <c r="I5" s="29">
        <f>'MERCADO TE'!$U$2</f>
        <v>1509.6429999999996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74</v>
      </c>
      <c r="H6" s="29" t="s">
        <v>72</v>
      </c>
      <c r="I6" s="29">
        <f>'MERCADO TE'!$U$3</f>
        <v>88874.944999999992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99" t="s">
        <v>22</v>
      </c>
      <c r="B7" s="99" t="s">
        <v>71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72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74</v>
      </c>
      <c r="H9" s="29" t="s">
        <v>72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72</v>
      </c>
      <c r="I10" s="29">
        <f>'MERCADO TE'!$U$7</f>
        <v>30172.235000000001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72</v>
      </c>
      <c r="I11" s="29">
        <f>'MERCADO TE'!$U$8</f>
        <v>191.77800000000005</v>
      </c>
      <c r="J11" s="15"/>
      <c r="L11" s="26">
        <f>1 - CUSTOS!$M$24</f>
        <v>1</v>
      </c>
      <c r="M11" s="26">
        <f>1 - CUSTOS!$M$24</f>
        <v>1</v>
      </c>
      <c r="N11" s="26">
        <f>1 - CUSTOS!$M$24</f>
        <v>1</v>
      </c>
      <c r="O11" s="26">
        <f>1 - CUSTOS!$M$24</f>
        <v>1</v>
      </c>
      <c r="P11" s="26">
        <f>1 - CUSTOS!$M$24</f>
        <v>1</v>
      </c>
      <c r="Q11" s="26"/>
      <c r="R11" s="26">
        <f>(1 - CUSTOS!$M$24)*1</f>
        <v>1</v>
      </c>
      <c r="S11" s="26"/>
      <c r="T11" s="26">
        <f>1 - CUSTOS!$M$24</f>
        <v>1</v>
      </c>
      <c r="U11" s="26">
        <f>1 - CUSTOS!$M$24</f>
        <v>1</v>
      </c>
      <c r="V11" s="26">
        <f>1 - CUSTOS!$M$24</f>
        <v>1</v>
      </c>
      <c r="W11" s="26"/>
      <c r="X11" s="26"/>
      <c r="Y11" s="26"/>
      <c r="Z11" s="26">
        <f>1 - CUSTOS!$M$24</f>
        <v>1</v>
      </c>
      <c r="AA11" s="26"/>
      <c r="AB11" s="26"/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72</v>
      </c>
      <c r="I12" s="29">
        <f>'MERCADO TE'!$U$9</f>
        <v>421.79500000000002</v>
      </c>
      <c r="J12" s="15"/>
      <c r="L12" s="26">
        <f>1 - CUSTOS!$M$25</f>
        <v>1</v>
      </c>
      <c r="M12" s="26">
        <f>1 - CUSTOS!$M$25</f>
        <v>1</v>
      </c>
      <c r="N12" s="26">
        <f>1 - CUSTOS!$M$25</f>
        <v>1</v>
      </c>
      <c r="O12" s="26">
        <f>1 - CUSTOS!$M$25</f>
        <v>1</v>
      </c>
      <c r="P12" s="26">
        <f>1 - CUSTOS!$M$25</f>
        <v>1</v>
      </c>
      <c r="Q12" s="26"/>
      <c r="R12" s="26">
        <f>(1 - CUSTOS!$M$25)*1</f>
        <v>1</v>
      </c>
      <c r="S12" s="26"/>
      <c r="T12" s="26">
        <f>1 - CUSTOS!$M$25</f>
        <v>1</v>
      </c>
      <c r="U12" s="26">
        <f>1 - CUSTOS!$M$25</f>
        <v>1</v>
      </c>
      <c r="V12" s="26">
        <f>1 - CUSTOS!$M$25</f>
        <v>1</v>
      </c>
      <c r="W12" s="26"/>
      <c r="X12" s="26"/>
      <c r="Y12" s="26"/>
      <c r="Z12" s="26">
        <f>1 - CUSTOS!$M$25</f>
        <v>1</v>
      </c>
      <c r="AA12" s="26"/>
      <c r="AB12" s="26"/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72</v>
      </c>
      <c r="I13" s="29">
        <f>'MERCADO TE'!$U$10</f>
        <v>486.94200000000001</v>
      </c>
      <c r="J13" s="15"/>
      <c r="L13" s="26">
        <f>1 - CUSTOS!$M$26</f>
        <v>1</v>
      </c>
      <c r="M13" s="26">
        <f>1 - CUSTOS!$M$26</f>
        <v>1</v>
      </c>
      <c r="N13" s="26">
        <f>1 - CUSTOS!$M$26</f>
        <v>1</v>
      </c>
      <c r="O13" s="26">
        <f>1 - CUSTOS!$M$26</f>
        <v>1</v>
      </c>
      <c r="P13" s="26">
        <f>1 - CUSTOS!$M$26</f>
        <v>1</v>
      </c>
      <c r="Q13" s="26"/>
      <c r="R13" s="26">
        <f>(1 - CUSTOS!$M$26)*1</f>
        <v>1</v>
      </c>
      <c r="S13" s="26"/>
      <c r="T13" s="26">
        <f>1 - CUSTOS!$M$26</f>
        <v>1</v>
      </c>
      <c r="U13" s="26">
        <f>1 - CUSTOS!$M$26</f>
        <v>1</v>
      </c>
      <c r="V13" s="26">
        <f>1 - CUSTOS!$M$26</f>
        <v>1</v>
      </c>
      <c r="W13" s="26"/>
      <c r="X13" s="26"/>
      <c r="Y13" s="26"/>
      <c r="Z13" s="26">
        <f>1 - CUSTOS!$M$26</f>
        <v>1</v>
      </c>
      <c r="AA13" s="26"/>
      <c r="AB13" s="26"/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72</v>
      </c>
      <c r="I14" s="29">
        <f>'MERCADO TE'!$U$11</f>
        <v>233.18899999999999</v>
      </c>
      <c r="J14" s="15"/>
      <c r="L14" s="26">
        <f>1 - CUSTOS!$M$27</f>
        <v>1</v>
      </c>
      <c r="M14" s="26">
        <f>1 - CUSTOS!$M$27</f>
        <v>1</v>
      </c>
      <c r="N14" s="26">
        <f>1 - CUSTOS!$M$27</f>
        <v>1</v>
      </c>
      <c r="O14" s="26">
        <f>1 - CUSTOS!$M$27</f>
        <v>1</v>
      </c>
      <c r="P14" s="26">
        <f>1 - CUSTOS!$M$27</f>
        <v>1</v>
      </c>
      <c r="Q14" s="26"/>
      <c r="R14" s="26">
        <f>(1 - CUSTOS!$M$27)*1</f>
        <v>1</v>
      </c>
      <c r="S14" s="26"/>
      <c r="T14" s="26">
        <f>1 - CUSTOS!$M$27</f>
        <v>1</v>
      </c>
      <c r="U14" s="26">
        <f>1 - CUSTOS!$M$27</f>
        <v>1</v>
      </c>
      <c r="V14" s="26">
        <f>1 - CUSTOS!$M$27</f>
        <v>1</v>
      </c>
      <c r="W14" s="26"/>
      <c r="X14" s="26"/>
      <c r="Y14" s="26"/>
      <c r="Z14" s="26">
        <f>1 - CUSTOS!$M$27</f>
        <v>1</v>
      </c>
      <c r="AA14" s="26"/>
      <c r="AB14" s="26"/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72</v>
      </c>
      <c r="I15" s="29">
        <f>'MERCADO TE'!$U$12</f>
        <v>0</v>
      </c>
      <c r="J15" s="15"/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/>
      <c r="R15" s="26">
        <v>1</v>
      </c>
      <c r="S15" s="26"/>
      <c r="T15" s="26">
        <v>1</v>
      </c>
      <c r="U15" s="26">
        <v>1</v>
      </c>
      <c r="V15" s="26">
        <v>1</v>
      </c>
      <c r="W15" s="26"/>
      <c r="X15" s="26"/>
      <c r="Y15" s="26"/>
      <c r="Z15" s="26">
        <v>1</v>
      </c>
      <c r="AA15" s="26"/>
      <c r="AB15" s="26"/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72</v>
      </c>
      <c r="I16" s="29">
        <f>'MERCADO TE'!$U$13</f>
        <v>0</v>
      </c>
      <c r="J16" s="15"/>
      <c r="L16" s="26">
        <f>1 - CUSTOS!$M$24</f>
        <v>1</v>
      </c>
      <c r="M16" s="26">
        <f>1 - CUSTOS!$M$24</f>
        <v>1</v>
      </c>
      <c r="N16" s="26">
        <f>1 - CUSTOS!$M$24</f>
        <v>1</v>
      </c>
      <c r="O16" s="26">
        <f>1 - CUSTOS!$M$24</f>
        <v>1</v>
      </c>
      <c r="P16" s="26">
        <f>1 - CUSTOS!$M$24</f>
        <v>1</v>
      </c>
      <c r="Q16" s="26"/>
      <c r="R16" s="26">
        <f>(1 - CUSTOS!$M$24)*1</f>
        <v>1</v>
      </c>
      <c r="S16" s="26"/>
      <c r="T16" s="26">
        <f>1 - CUSTOS!$M$24</f>
        <v>1</v>
      </c>
      <c r="U16" s="26">
        <f>1 - CUSTOS!$M$24</f>
        <v>1</v>
      </c>
      <c r="V16" s="26">
        <f>1 - CUSTOS!$M$24</f>
        <v>1</v>
      </c>
      <c r="W16" s="26"/>
      <c r="X16" s="26"/>
      <c r="Y16" s="26"/>
      <c r="Z16" s="26">
        <f>1 - CUSTOS!$M$24</f>
        <v>1</v>
      </c>
      <c r="AA16" s="26"/>
      <c r="AB16" s="26"/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72</v>
      </c>
      <c r="I17" s="29">
        <f>'MERCADO TE'!$U$14</f>
        <v>0</v>
      </c>
      <c r="J17" s="15"/>
      <c r="L17" s="26">
        <f>1 - CUSTOS!$M$25</f>
        <v>1</v>
      </c>
      <c r="M17" s="26">
        <f>1 - CUSTOS!$M$25</f>
        <v>1</v>
      </c>
      <c r="N17" s="26">
        <f>1 - CUSTOS!$M$25</f>
        <v>1</v>
      </c>
      <c r="O17" s="26">
        <f>1 - CUSTOS!$M$25</f>
        <v>1</v>
      </c>
      <c r="P17" s="26">
        <f>1 - CUSTOS!$M$25</f>
        <v>1</v>
      </c>
      <c r="Q17" s="26"/>
      <c r="R17" s="26">
        <f>(1 - CUSTOS!$M$25)*1</f>
        <v>1</v>
      </c>
      <c r="S17" s="26"/>
      <c r="T17" s="26">
        <f>1 - CUSTOS!$M$25</f>
        <v>1</v>
      </c>
      <c r="U17" s="26">
        <f>1 - CUSTOS!$M$25</f>
        <v>1</v>
      </c>
      <c r="V17" s="26">
        <f>1 - CUSTOS!$M$25</f>
        <v>1</v>
      </c>
      <c r="W17" s="26"/>
      <c r="X17" s="26"/>
      <c r="Y17" s="26"/>
      <c r="Z17" s="26">
        <f>1 - CUSTOS!$M$25</f>
        <v>1</v>
      </c>
      <c r="AA17" s="26"/>
      <c r="AB17" s="26"/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72</v>
      </c>
      <c r="I18" s="29">
        <f>'MERCADO TE'!$U$15</f>
        <v>0</v>
      </c>
      <c r="J18" s="15"/>
      <c r="L18" s="26">
        <f>1 - CUSTOS!$M$26</f>
        <v>1</v>
      </c>
      <c r="M18" s="26">
        <f>1 - CUSTOS!$M$26</f>
        <v>1</v>
      </c>
      <c r="N18" s="26">
        <f>1 - CUSTOS!$M$26</f>
        <v>1</v>
      </c>
      <c r="O18" s="26">
        <f>1 - CUSTOS!$M$26</f>
        <v>1</v>
      </c>
      <c r="P18" s="26">
        <f>1 - CUSTOS!$M$26</f>
        <v>1</v>
      </c>
      <c r="Q18" s="26"/>
      <c r="R18" s="26">
        <f>(1 - CUSTOS!$M$26)*1</f>
        <v>1</v>
      </c>
      <c r="S18" s="26"/>
      <c r="T18" s="26">
        <f>1 - CUSTOS!$M$26</f>
        <v>1</v>
      </c>
      <c r="U18" s="26">
        <f>1 - CUSTOS!$M$26</f>
        <v>1</v>
      </c>
      <c r="V18" s="26">
        <f>1 - CUSTOS!$M$26</f>
        <v>1</v>
      </c>
      <c r="W18" s="26"/>
      <c r="X18" s="26"/>
      <c r="Y18" s="26"/>
      <c r="Z18" s="26">
        <f>1 - CUSTOS!$M$26</f>
        <v>1</v>
      </c>
      <c r="AA18" s="26"/>
      <c r="AB18" s="26"/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72</v>
      </c>
      <c r="I19" s="29">
        <f>'MERCADO TE'!$U$16</f>
        <v>0</v>
      </c>
      <c r="J19" s="15"/>
      <c r="L19" s="26">
        <f>1 - CUSTOS!$M$27</f>
        <v>1</v>
      </c>
      <c r="M19" s="26">
        <f>1 - CUSTOS!$M$27</f>
        <v>1</v>
      </c>
      <c r="N19" s="26">
        <f>1 - CUSTOS!$M$27</f>
        <v>1</v>
      </c>
      <c r="O19" s="26">
        <f>1 - CUSTOS!$M$27</f>
        <v>1</v>
      </c>
      <c r="P19" s="26">
        <f>1 - CUSTOS!$M$27</f>
        <v>1</v>
      </c>
      <c r="Q19" s="26"/>
      <c r="R19" s="26">
        <f>(1 - CUSTOS!$M$27)*1</f>
        <v>1</v>
      </c>
      <c r="S19" s="26"/>
      <c r="T19" s="26">
        <f>1 - CUSTOS!$M$27</f>
        <v>1</v>
      </c>
      <c r="U19" s="26">
        <f>1 - CUSTOS!$M$27</f>
        <v>1</v>
      </c>
      <c r="V19" s="26">
        <f>1 - CUSTOS!$M$27</f>
        <v>1</v>
      </c>
      <c r="W19" s="26"/>
      <c r="X19" s="26"/>
      <c r="Y19" s="26"/>
      <c r="Z19" s="26">
        <f>1 - CUSTOS!$M$27</f>
        <v>1</v>
      </c>
      <c r="AA19" s="26"/>
      <c r="AB19" s="26"/>
    </row>
    <row r="20" spans="1:28" ht="11.25" customHeight="1" x14ac:dyDescent="0.25">
      <c r="A20" s="99" t="s">
        <v>43</v>
      </c>
      <c r="B20" s="99" t="s">
        <v>71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1 - CUSTOS!$M$28</f>
        <v>1</v>
      </c>
      <c r="M20" s="26">
        <f>1 - CUSTOS!$M$28</f>
        <v>1</v>
      </c>
      <c r="N20" s="26">
        <f>1 - CUSTOS!$M$28</f>
        <v>1</v>
      </c>
      <c r="O20" s="26">
        <f>1 - CUSTOS!$M$28</f>
        <v>1</v>
      </c>
      <c r="P20" s="26">
        <f>1 - CUSTOS!$M$28</f>
        <v>1</v>
      </c>
      <c r="Q20" s="26"/>
      <c r="R20" s="26">
        <f>(1 - CUSTOS!$M$28)*1</f>
        <v>1</v>
      </c>
      <c r="S20" s="26"/>
      <c r="T20" s="26">
        <f>1 - CUSTOS!$M$28</f>
        <v>1</v>
      </c>
      <c r="U20" s="26">
        <f>1 - CUSTOS!$M$28</f>
        <v>1</v>
      </c>
      <c r="V20" s="26">
        <f>1 - CUSTOS!$M$28</f>
        <v>1</v>
      </c>
      <c r="W20" s="26"/>
      <c r="X20" s="26"/>
      <c r="Y20" s="26"/>
      <c r="Z20" s="26">
        <f>1 - CUSTOS!$M$28</f>
        <v>1</v>
      </c>
      <c r="AA20" s="26"/>
      <c r="AB20" s="26"/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72</v>
      </c>
      <c r="I21" s="29">
        <f>'MERCADO TE'!$U$18</f>
        <v>0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74</v>
      </c>
      <c r="H22" s="29" t="s">
        <v>72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99"/>
      <c r="B23" s="28" t="s">
        <v>85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72</v>
      </c>
      <c r="I23" s="29">
        <f>'MERCADO TE'!$U$20</f>
        <v>3201.45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99"/>
      <c r="B24" s="99" t="s">
        <v>71</v>
      </c>
      <c r="C24" s="99" t="s">
        <v>44</v>
      </c>
      <c r="D24" s="99" t="s">
        <v>88</v>
      </c>
      <c r="E24" s="99" t="s">
        <v>25</v>
      </c>
      <c r="F24" s="99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1 - CUSTOS!$M$29</f>
        <v>1</v>
      </c>
      <c r="M24" s="26">
        <f>1 - CUSTOS!$M$29</f>
        <v>1</v>
      </c>
      <c r="N24" s="26">
        <f>1 - CUSTOS!$M$29</f>
        <v>1</v>
      </c>
      <c r="O24" s="26">
        <f>1 - CUSTOS!$M$29</f>
        <v>1</v>
      </c>
      <c r="P24" s="26">
        <f>1 - CUSTOS!$M$29</f>
        <v>1</v>
      </c>
      <c r="Q24" s="26"/>
      <c r="R24" s="26">
        <f>(1 - CUSTOS!$M$29)*1</f>
        <v>1</v>
      </c>
      <c r="S24" s="26"/>
      <c r="T24" s="26">
        <f>1 - CUSTOS!$M$29</f>
        <v>1</v>
      </c>
      <c r="U24" s="26">
        <f>1 - CUSTOS!$M$29</f>
        <v>1</v>
      </c>
      <c r="V24" s="26">
        <f>1 - CUSTOS!$M$29</f>
        <v>1</v>
      </c>
      <c r="W24" s="26"/>
      <c r="X24" s="26"/>
      <c r="Y24" s="26"/>
      <c r="Z24" s="26">
        <f>1 - CUSTOS!$M$29</f>
        <v>1</v>
      </c>
      <c r="AA24" s="26"/>
      <c r="AB24" s="26"/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72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74</v>
      </c>
      <c r="H26" s="29" t="s">
        <v>72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99"/>
      <c r="B27" s="28" t="s">
        <v>85</v>
      </c>
      <c r="C27" s="28" t="s">
        <v>44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72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99"/>
      <c r="B28" s="99" t="s">
        <v>71</v>
      </c>
      <c r="C28" s="99" t="s">
        <v>44</v>
      </c>
      <c r="D28" s="99" t="s">
        <v>89</v>
      </c>
      <c r="E28" s="99" t="s">
        <v>25</v>
      </c>
      <c r="F28" s="99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1 - CUSTOS!$M$30</f>
        <v>1</v>
      </c>
      <c r="M28" s="26">
        <f>1 - CUSTOS!$M$30</f>
        <v>1</v>
      </c>
      <c r="N28" s="26">
        <f>1 - CUSTOS!$M$30</f>
        <v>1</v>
      </c>
      <c r="O28" s="26">
        <f>1 - CUSTOS!$M$30</f>
        <v>1</v>
      </c>
      <c r="P28" s="26">
        <f>1 - CUSTOS!$M$30</f>
        <v>1</v>
      </c>
      <c r="Q28" s="26"/>
      <c r="R28" s="26">
        <f>(1 - CUSTOS!$M$30)*1</f>
        <v>1</v>
      </c>
      <c r="S28" s="26"/>
      <c r="T28" s="26">
        <f>1 - CUSTOS!$M$30</f>
        <v>1</v>
      </c>
      <c r="U28" s="26">
        <f>1 - CUSTOS!$M$30</f>
        <v>1</v>
      </c>
      <c r="V28" s="26">
        <f>1 - CUSTOS!$M$30</f>
        <v>1</v>
      </c>
      <c r="W28" s="26"/>
      <c r="X28" s="26"/>
      <c r="Y28" s="26"/>
      <c r="Z28" s="26">
        <f>1 - CUSTOS!$M$30</f>
        <v>1</v>
      </c>
      <c r="AA28" s="26"/>
      <c r="AB28" s="26"/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72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74</v>
      </c>
      <c r="H30" s="29" t="s">
        <v>72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99"/>
      <c r="B31" s="28" t="s">
        <v>85</v>
      </c>
      <c r="C31" s="28" t="s">
        <v>44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72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99"/>
      <c r="B32" s="99" t="s">
        <v>86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72</v>
      </c>
      <c r="I32" s="29">
        <f>'MERCADO TE'!$U$29</f>
        <v>0</v>
      </c>
      <c r="J32" s="15"/>
      <c r="L32" s="26">
        <f>1 - CUSTOS!$M$28</f>
        <v>1</v>
      </c>
      <c r="M32" s="26">
        <f>1 - CUSTOS!$M$28</f>
        <v>1</v>
      </c>
      <c r="N32" s="26">
        <f>1 - CUSTOS!$M$28</f>
        <v>1</v>
      </c>
      <c r="O32" s="26">
        <f>1 - CUSTOS!$M$28</f>
        <v>1</v>
      </c>
      <c r="P32" s="26">
        <f>1 - CUSTOS!$M$28</f>
        <v>1</v>
      </c>
      <c r="Q32" s="26"/>
      <c r="R32" s="26">
        <f>(1 - CUSTOS!$M$28)*1</f>
        <v>1</v>
      </c>
      <c r="S32" s="26"/>
      <c r="T32" s="26">
        <f>1 - CUSTOS!$M$28</f>
        <v>1</v>
      </c>
      <c r="U32" s="26">
        <f>1 - CUSTOS!$M$28</f>
        <v>1</v>
      </c>
      <c r="V32" s="26">
        <f>1 - CUSTOS!$M$28</f>
        <v>1</v>
      </c>
      <c r="W32" s="26"/>
      <c r="X32" s="26"/>
      <c r="Y32" s="26"/>
      <c r="Z32" s="26">
        <f>1 - CUSTOS!$M$28</f>
        <v>1</v>
      </c>
      <c r="AA32" s="26"/>
      <c r="AB32" s="26"/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72</v>
      </c>
      <c r="I33" s="29">
        <f>'MERCADO TE'!$U$30</f>
        <v>0</v>
      </c>
      <c r="J33" s="15"/>
      <c r="L33" s="26">
        <f>1 - CUSTOS!$M$29</f>
        <v>1</v>
      </c>
      <c r="M33" s="26">
        <f>1 - CUSTOS!$M$29</f>
        <v>1</v>
      </c>
      <c r="N33" s="26">
        <f>1 - CUSTOS!$M$29</f>
        <v>1</v>
      </c>
      <c r="O33" s="26">
        <f>1 - CUSTOS!$M$29</f>
        <v>1</v>
      </c>
      <c r="P33" s="26">
        <f>1 - CUSTOS!$M$29</f>
        <v>1</v>
      </c>
      <c r="Q33" s="26"/>
      <c r="R33" s="26">
        <f>(1 - CUSTOS!$M$29)*1</f>
        <v>1</v>
      </c>
      <c r="S33" s="26"/>
      <c r="T33" s="26">
        <f>1 - CUSTOS!$M$29</f>
        <v>1</v>
      </c>
      <c r="U33" s="26">
        <f>1 - CUSTOS!$M$29</f>
        <v>1</v>
      </c>
      <c r="V33" s="26">
        <f>1 - CUSTOS!$M$29</f>
        <v>1</v>
      </c>
      <c r="W33" s="26"/>
      <c r="X33" s="26"/>
      <c r="Y33" s="26"/>
      <c r="Z33" s="26">
        <f>1 - CUSTOS!$M$29</f>
        <v>1</v>
      </c>
      <c r="AA33" s="26"/>
      <c r="AB33" s="26"/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72</v>
      </c>
      <c r="I34" s="29">
        <f>'MERCADO TE'!$U$31</f>
        <v>0</v>
      </c>
      <c r="J34" s="15"/>
      <c r="L34" s="26">
        <f>1 - CUSTOS!$M$30</f>
        <v>1</v>
      </c>
      <c r="M34" s="26">
        <f>1 - CUSTOS!$M$30</f>
        <v>1</v>
      </c>
      <c r="N34" s="26">
        <f>1 - CUSTOS!$M$30</f>
        <v>1</v>
      </c>
      <c r="O34" s="26">
        <f>1 - CUSTOS!$M$30</f>
        <v>1</v>
      </c>
      <c r="P34" s="26">
        <f>1 - CUSTOS!$M$30</f>
        <v>1</v>
      </c>
      <c r="Q34" s="26"/>
      <c r="R34" s="26">
        <f>(1 - CUSTOS!$M$30)*1</f>
        <v>1</v>
      </c>
      <c r="S34" s="26"/>
      <c r="T34" s="26">
        <f>1 - CUSTOS!$M$30</f>
        <v>1</v>
      </c>
      <c r="U34" s="26">
        <f>1 - CUSTOS!$M$30</f>
        <v>1</v>
      </c>
      <c r="V34" s="26">
        <f>1 - CUSTOS!$M$30</f>
        <v>1</v>
      </c>
      <c r="W34" s="26"/>
      <c r="X34" s="26"/>
      <c r="Y34" s="26"/>
      <c r="Z34" s="26">
        <f>1 - CUSTOS!$M$30</f>
        <v>1</v>
      </c>
      <c r="AA34" s="26"/>
      <c r="AB34" s="26"/>
    </row>
    <row r="35" spans="1:28" ht="11.25" customHeight="1" x14ac:dyDescent="0.25">
      <c r="A35" s="99" t="s">
        <v>33</v>
      </c>
      <c r="B35" s="99" t="s">
        <v>71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73</v>
      </c>
      <c r="H35" s="29" t="s">
        <v>72</v>
      </c>
      <c r="I35" s="29">
        <f>'MERCADO TE'!$U$32</f>
        <v>1.0639999999999998</v>
      </c>
      <c r="J35" s="15"/>
      <c r="L35" s="26">
        <f>1 - CUSTOS!$M$31</f>
        <v>1</v>
      </c>
      <c r="M35" s="26">
        <f>1 - CUSTOS!$M$31</f>
        <v>1</v>
      </c>
      <c r="N35" s="26">
        <f>1 - CUSTOS!$M$31</f>
        <v>1</v>
      </c>
      <c r="O35" s="26">
        <f>1 - CUSTOS!$M$31</f>
        <v>1</v>
      </c>
      <c r="P35" s="26">
        <f>1 - CUSTOS!$M$31</f>
        <v>1</v>
      </c>
      <c r="Q35" s="26"/>
      <c r="R35" s="26">
        <f>(1 - CUSTOS!$M$31)*1</f>
        <v>1</v>
      </c>
      <c r="S35" s="26"/>
      <c r="T35" s="26">
        <f>1 - CUSTOS!$M$31</f>
        <v>1</v>
      </c>
      <c r="U35" s="26">
        <f>1 - CUSTOS!$M$31</f>
        <v>1</v>
      </c>
      <c r="V35" s="26">
        <f>1 - CUSTOS!$M$31</f>
        <v>1</v>
      </c>
      <c r="W35" s="26"/>
      <c r="X35" s="26"/>
      <c r="Y35" s="26"/>
      <c r="Z35" s="26">
        <f>1 - CUSTOS!$M$31</f>
        <v>1</v>
      </c>
      <c r="AA35" s="26"/>
      <c r="AB35" s="26"/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72</v>
      </c>
      <c r="I36" s="29">
        <f>'MERCADO TE'!$U$33</f>
        <v>1.6680000000000006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74</v>
      </c>
      <c r="H37" s="29" t="s">
        <v>72</v>
      </c>
      <c r="I37" s="29">
        <f>'MERCADO TE'!$U$34</f>
        <v>73.304000000000016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72</v>
      </c>
      <c r="I38" s="29">
        <f>'MERCADO TE'!$U$35</f>
        <v>14591.943000000003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72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99" t="s">
        <v>46</v>
      </c>
      <c r="B40" s="99" t="s">
        <v>85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78</v>
      </c>
      <c r="H40" s="29" t="s">
        <v>72</v>
      </c>
      <c r="I40" s="29">
        <f>'MERCADO TE'!$U$37</f>
        <v>5137.0619999999999</v>
      </c>
      <c r="J40" s="15"/>
      <c r="L40" s="26">
        <f>1 - CUSTOS!$M$32</f>
        <v>0.55000000000000004</v>
      </c>
      <c r="M40" s="26">
        <f>1 - CUSTOS!$M$32</f>
        <v>0.55000000000000004</v>
      </c>
      <c r="N40" s="26">
        <f>1 - CUSTOS!$M$32</f>
        <v>0.55000000000000004</v>
      </c>
      <c r="O40" s="26">
        <f>1 - CUSTOS!$M$32</f>
        <v>0.55000000000000004</v>
      </c>
      <c r="P40" s="26">
        <f>1 - CUSTOS!$M$32</f>
        <v>0.55000000000000004</v>
      </c>
      <c r="Q40" s="26"/>
      <c r="R40" s="26">
        <f>(1 - CUSTOS!$M$32)*1</f>
        <v>0.55000000000000004</v>
      </c>
      <c r="S40" s="26"/>
      <c r="T40" s="26">
        <f>1 - CUSTOS!$M$32</f>
        <v>0.55000000000000004</v>
      </c>
      <c r="U40" s="26">
        <f>1 - CUSTOS!$M$32</f>
        <v>0.55000000000000004</v>
      </c>
      <c r="V40" s="26">
        <f>1 - CUSTOS!$M$32</f>
        <v>0.55000000000000004</v>
      </c>
      <c r="W40" s="26"/>
      <c r="X40" s="26"/>
      <c r="Y40" s="26"/>
      <c r="Z40" s="26">
        <f>1 - CUSTOS!$M$32</f>
        <v>0.55000000000000004</v>
      </c>
      <c r="AA40" s="26"/>
      <c r="AB40" s="26"/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72</v>
      </c>
      <c r="I41" s="29">
        <f>'MERCADO TE'!$U$38</f>
        <v>0</v>
      </c>
      <c r="J41" s="15"/>
      <c r="L41" s="26">
        <f>1 - CUSTOS!$M$33</f>
        <v>0.6</v>
      </c>
      <c r="M41" s="26">
        <f>1 - CUSTOS!$M$33</f>
        <v>0.6</v>
      </c>
      <c r="N41" s="26">
        <f>1 - CUSTOS!$M$33</f>
        <v>0.6</v>
      </c>
      <c r="O41" s="26">
        <f>1 - CUSTOS!$M$33</f>
        <v>0.6</v>
      </c>
      <c r="P41" s="26">
        <f>1 - CUSTOS!$M$33</f>
        <v>0.6</v>
      </c>
      <c r="Q41" s="26"/>
      <c r="R41" s="26">
        <f>(1 - CUSTOS!$M$33)*1</f>
        <v>0.6</v>
      </c>
      <c r="S41" s="26"/>
      <c r="T41" s="26">
        <f>1 - CUSTOS!$M$33</f>
        <v>0.6</v>
      </c>
      <c r="U41" s="26">
        <f>1 - CUSTOS!$M$33</f>
        <v>0.6</v>
      </c>
      <c r="V41" s="26">
        <f>1 - CUSTOS!$M$33</f>
        <v>0.6</v>
      </c>
      <c r="W41" s="26"/>
      <c r="X41" s="26"/>
      <c r="Y41" s="26"/>
      <c r="Z41" s="26">
        <f>1 - CUSTOS!$M$33</f>
        <v>0.6</v>
      </c>
      <c r="AA41" s="26"/>
      <c r="AB41" s="26"/>
    </row>
    <row r="43" spans="1:28" ht="11.25" customHeight="1" x14ac:dyDescent="0.25">
      <c r="K43" s="31" t="s">
        <v>569</v>
      </c>
      <c r="L43" s="26">
        <f t="shared" ref="L43:AB43" si="0">SUMPRODUCT($I$5:$I$41,L$5:L$41)</f>
        <v>142585.3401</v>
      </c>
      <c r="M43" s="26">
        <f t="shared" si="0"/>
        <v>142585.3401</v>
      </c>
      <c r="N43" s="26">
        <f t="shared" si="0"/>
        <v>142585.3401</v>
      </c>
      <c r="O43" s="26">
        <f t="shared" si="0"/>
        <v>142585.3401</v>
      </c>
      <c r="P43" s="26">
        <f t="shared" si="0"/>
        <v>142585.3401</v>
      </c>
      <c r="Q43" s="26">
        <f t="shared" si="0"/>
        <v>0</v>
      </c>
      <c r="R43" s="26">
        <f t="shared" si="0"/>
        <v>142585.3401</v>
      </c>
      <c r="S43" s="26">
        <f t="shared" si="0"/>
        <v>0</v>
      </c>
      <c r="T43" s="26">
        <f t="shared" si="0"/>
        <v>142585.3401</v>
      </c>
      <c r="U43" s="26">
        <f t="shared" si="0"/>
        <v>142585.3401</v>
      </c>
      <c r="V43" s="26">
        <f t="shared" si="0"/>
        <v>142585.3401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142585.3401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488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20968479.437533595</v>
      </c>
      <c r="S44" s="26">
        <f>CUSTOS!$D$37</f>
        <v>20968479.437533595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20968479.437533595</v>
      </c>
    </row>
    <row r="45" spans="1:28" ht="11.25" customHeight="1" x14ac:dyDescent="0.25">
      <c r="K45" s="31" t="s">
        <v>489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-1488091.4083301171</v>
      </c>
      <c r="S45" s="26">
        <f>CUSTOS!$E$37</f>
        <v>-1488091.4083301171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-1488091.4083301171</v>
      </c>
    </row>
    <row r="46" spans="1:28" ht="11.25" customHeight="1" x14ac:dyDescent="0.25">
      <c r="K46" s="31" t="s">
        <v>490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570</v>
      </c>
      <c r="L47" s="26">
        <f>IF(SUMPRODUCT($I$5:$I$41,$L$5:$L$41)&lt;&gt;0,L44/SUMPRODUCT($I$5:$I$41,$L$5:$L$41),0)</f>
        <v>0</v>
      </c>
      <c r="M47" s="26">
        <f>IF(SUMPRODUCT($I$5:$I$41,$M$5:$M$41)&lt;&gt;0,M44/SUMPRODUCT($I$5:$I$41,$M$5:$M$41),0)</f>
        <v>0</v>
      </c>
      <c r="N47" s="26">
        <f>IF(SUMPRODUCT($I$5:$I$41,$N$5:$N$41)&lt;&gt;0,N44/SUMPRODUCT($I$5:$I$41,$N$5:$N$41),0)</f>
        <v>0</v>
      </c>
      <c r="O47" s="26">
        <f>IF(SUMPRODUCT($I$5:$I$41,$O$5:$O$41)&lt;&gt;0,O44/SUMPRODUCT($I$5:$I$41,$O$5:$O$41),0)</f>
        <v>0</v>
      </c>
      <c r="P47" s="26">
        <f>IF(SUMPRODUCT($I$5:$I$41,$P$5:$P$41)&lt;&gt;0,P44/SUMPRODUCT($I$5:$I$41,$P$5:$P$41),0)</f>
        <v>0</v>
      </c>
      <c r="Q47" s="26"/>
      <c r="R47" s="26">
        <f>IF((CUSTOS!$M$12-CUSTOS!$M$13)&lt;&gt;0,(CUSTOS!$M$12*CUSTOS!$M$14)/(CUSTOS!$M$12-CUSTOS!$M$13),0)</f>
        <v>147.026341</v>
      </c>
      <c r="S47" s="26"/>
      <c r="T47" s="26">
        <f>IF(SUMPRODUCT($I$5:$I$41,$T$5:$T$41)&lt;&gt;0,T44/SUMPRODUCT($I$5:$I$41,$T$5:$T$41),0)</f>
        <v>0</v>
      </c>
      <c r="U47" s="26">
        <f>IF(SUMPRODUCT($I$5:$I$41,$U$5:$U$41)&lt;&gt;0,U44/SUMPRODUCT($I$5:$I$41,$U$5:$U$41),0)</f>
        <v>0</v>
      </c>
      <c r="V47" s="26">
        <f>IF(SUMPRODUCT($I$5:$I$41,$V$5:$V$41)&lt;&gt;0,V44/SUMPRODUCT($I$5:$I$41,$V$5:$V$41),0)</f>
        <v>0</v>
      </c>
      <c r="W47" s="26"/>
      <c r="X47" s="26">
        <f>IF(SUMPRODUCT($I$5:$I$41,$X$5:$X$41)&lt;&gt;0,X44/SUMPRODUCT($I$5:$I$41,$X$5:$X$41),0)</f>
        <v>0</v>
      </c>
      <c r="Y47" s="26"/>
      <c r="Z47" s="26">
        <f>IF(SUMPRODUCT($I$5:$I$41,$Z$5:$Z$41)&lt;&gt;0,Z44/SUMPRODUCT($I$5:$I$41,$Z$5:$Z$41),0)</f>
        <v>0</v>
      </c>
      <c r="AA47" s="26"/>
      <c r="AB47" s="26"/>
    </row>
    <row r="48" spans="1:28" ht="11.25" customHeight="1" x14ac:dyDescent="0.25">
      <c r="K48" s="31" t="s">
        <v>571</v>
      </c>
      <c r="L48" s="26">
        <f>IF(L43&lt;&gt;0,(L44-L47*0)/(L43-0),0)</f>
        <v>0</v>
      </c>
      <c r="M48" s="26">
        <f>IF(M43&lt;&gt;0,(M44-M47*0)/(M43-0),0)</f>
        <v>0</v>
      </c>
      <c r="N48" s="26">
        <f>IF(N43&lt;&gt;0,(N44-N47*0)/(N43-0),0)</f>
        <v>0</v>
      </c>
      <c r="O48" s="26">
        <f>IF(O43&lt;&gt;0,(O44-O47*0)/(O43-0),0)</f>
        <v>0</v>
      </c>
      <c r="P48" s="26">
        <f>IF(P43&lt;&gt;0,(P44-P47*0)/(P43-0),0)</f>
        <v>0</v>
      </c>
      <c r="Q48" s="26"/>
      <c r="R48" s="26">
        <f>IF(R43&lt;&gt;0,(R44-R47*0)/(R43-0),0)</f>
        <v>147.05915364670506</v>
      </c>
      <c r="S48" s="26"/>
      <c r="T48" s="26">
        <f>IF(T43&lt;&gt;0,(T44-T47*0)/(T43-0),0)</f>
        <v>0</v>
      </c>
      <c r="U48" s="26">
        <f>IF(U43&lt;&gt;0,(U44-U47*0)/(U43-0),0)</f>
        <v>0</v>
      </c>
      <c r="V48" s="26">
        <f>IF(V43&lt;&gt;0,(V44-V47*0)/(V43-0),0)</f>
        <v>0</v>
      </c>
      <c r="W48" s="26"/>
      <c r="X48" s="26">
        <f>IF(X43&lt;&gt;0,(X44-X47*0)/(X43-0),0)</f>
        <v>0</v>
      </c>
      <c r="Y48" s="26"/>
      <c r="Z48" s="26">
        <f>IF(Z43&lt;&gt;0,(Z44-Z47*0)/(Z43-0),0)</f>
        <v>0</v>
      </c>
      <c r="AA48" s="26"/>
      <c r="AB48" s="26"/>
    </row>
    <row r="49" spans="11:28" ht="11.25" customHeight="1" x14ac:dyDescent="0.25">
      <c r="K49" s="31" t="s">
        <v>572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3DAB-B3BC-4595-8ABD-E9A01CEA1121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62</v>
      </c>
      <c r="B1" s="100" t="s">
        <v>63</v>
      </c>
      <c r="C1" s="100" t="s">
        <v>64</v>
      </c>
      <c r="D1" s="100" t="s">
        <v>65</v>
      </c>
      <c r="E1" s="100" t="s">
        <v>66</v>
      </c>
      <c r="F1" s="100" t="s">
        <v>15</v>
      </c>
      <c r="G1" s="100" t="s">
        <v>68</v>
      </c>
      <c r="H1" s="100" t="s">
        <v>69</v>
      </c>
      <c r="I1" s="100" t="s">
        <v>547</v>
      </c>
      <c r="J1" s="85"/>
      <c r="L1" s="101" t="s">
        <v>573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474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447</v>
      </c>
      <c r="M3" s="101"/>
      <c r="N3" s="101"/>
      <c r="O3" s="101"/>
      <c r="P3" s="101"/>
      <c r="Q3" s="101"/>
      <c r="R3" s="101" t="s">
        <v>478</v>
      </c>
      <c r="S3" s="101"/>
      <c r="T3" s="101" t="s">
        <v>456</v>
      </c>
      <c r="U3" s="101"/>
      <c r="V3" s="101"/>
      <c r="W3" s="101"/>
      <c r="X3" s="101" t="s">
        <v>466</v>
      </c>
      <c r="Y3" s="101"/>
      <c r="Z3" s="101" t="s">
        <v>469</v>
      </c>
      <c r="AA3" s="101"/>
      <c r="AB3" s="101" t="s">
        <v>455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449</v>
      </c>
      <c r="M4" s="30" t="s">
        <v>475</v>
      </c>
      <c r="N4" s="30" t="s">
        <v>476</v>
      </c>
      <c r="O4" s="30" t="s">
        <v>535</v>
      </c>
      <c r="P4" s="30" t="s">
        <v>477</v>
      </c>
      <c r="Q4" s="30" t="s">
        <v>455</v>
      </c>
      <c r="R4" s="30" t="s">
        <v>479</v>
      </c>
      <c r="S4" s="30" t="s">
        <v>455</v>
      </c>
      <c r="T4" s="30" t="s">
        <v>480</v>
      </c>
      <c r="U4" s="30" t="s">
        <v>481</v>
      </c>
      <c r="V4" s="30" t="s">
        <v>482</v>
      </c>
      <c r="W4" s="30" t="s">
        <v>455</v>
      </c>
      <c r="X4" s="30" t="s">
        <v>467</v>
      </c>
      <c r="Y4" s="30" t="s">
        <v>455</v>
      </c>
      <c r="Z4" s="30" t="s">
        <v>483</v>
      </c>
      <c r="AA4" s="30" t="s">
        <v>455</v>
      </c>
      <c r="AB4" s="102"/>
    </row>
    <row r="5" spans="1:28" ht="11.25" customHeight="1" x14ac:dyDescent="0.25">
      <c r="A5" s="99" t="s">
        <v>35</v>
      </c>
      <c r="B5" s="99" t="s">
        <v>71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73</v>
      </c>
      <c r="H5" s="29" t="s">
        <v>72</v>
      </c>
      <c r="I5" s="29">
        <f>'MERCADO TE'!$U$2</f>
        <v>1509.6429999999996</v>
      </c>
      <c r="J5" s="15"/>
      <c r="L5" s="26">
        <f>'TR TE'!$L$5*'TR TE'!$L$48</f>
        <v>0</v>
      </c>
      <c r="M5" s="26">
        <f>'TR TE'!$M$5*'TR TE'!$M$48</f>
        <v>0</v>
      </c>
      <c r="N5" s="26">
        <f>'TR TE'!$N$5*'TR TE'!$N$48</f>
        <v>0</v>
      </c>
      <c r="O5" s="26">
        <f>'TR TE'!$O$5*'TR TE'!$O$48</f>
        <v>0</v>
      </c>
      <c r="P5" s="26">
        <f>'TR TE'!$P$5*'TR TE'!$P$48</f>
        <v>0</v>
      </c>
      <c r="Q5" s="26">
        <f>SUM($L$5:$P$5)</f>
        <v>0</v>
      </c>
      <c r="R5" s="26">
        <f>'TR TE'!$R$5*'TR TE'!$R$48</f>
        <v>147.05915364670506</v>
      </c>
      <c r="S5" s="26">
        <f>SUM($R$5:$R$5)</f>
        <v>147.05915364670506</v>
      </c>
      <c r="T5" s="26">
        <f>'TR TE'!$T$5*'TR TE'!$T$48</f>
        <v>0</v>
      </c>
      <c r="U5" s="26">
        <f>'TR TE'!$U$5*'TR TE'!$U$48</f>
        <v>0</v>
      </c>
      <c r="V5" s="26">
        <f>'TR TE'!$V$5*'TR TE'!$V$48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TE'!$Z$48</f>
        <v>0</v>
      </c>
      <c r="AA5" s="26">
        <f>SUM($Z$5:$Z$5)</f>
        <v>0</v>
      </c>
      <c r="AB5" s="26">
        <f>SUMIF($L$4:$AA$4,"SUBTOTAL",$L$5:$AA$5)</f>
        <v>147.05915364670506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74</v>
      </c>
      <c r="H6" s="29" t="s">
        <v>72</v>
      </c>
      <c r="I6" s="29">
        <f>'MERCADO TE'!$U$3</f>
        <v>88874.944999999992</v>
      </c>
      <c r="J6" s="15"/>
      <c r="L6" s="26">
        <f>'TR TE'!$L$6*'TR TE'!$L$48</f>
        <v>0</v>
      </c>
      <c r="M6" s="26">
        <f>'TR TE'!$M$6*'TR TE'!$M$48</f>
        <v>0</v>
      </c>
      <c r="N6" s="26">
        <f>'TR TE'!$N$6*'TR TE'!$N$48</f>
        <v>0</v>
      </c>
      <c r="O6" s="26">
        <f>'TR TE'!$O$6*'TR TE'!$O$48</f>
        <v>0</v>
      </c>
      <c r="P6" s="26">
        <f>'TR TE'!$P$6*'TR TE'!$P$48</f>
        <v>0</v>
      </c>
      <c r="Q6" s="26">
        <f>SUM($L$6:$P$6)</f>
        <v>0</v>
      </c>
      <c r="R6" s="26">
        <f>'TR TE'!$R$6*'TR TE'!$R$48</f>
        <v>147.05915364670506</v>
      </c>
      <c r="S6" s="26">
        <f>SUM($R$6:$R$6)</f>
        <v>147.05915364670506</v>
      </c>
      <c r="T6" s="26">
        <f>'TR TE'!$T$6*'TR TE'!$T$48</f>
        <v>0</v>
      </c>
      <c r="U6" s="26">
        <f>'TR TE'!$U$6*'TR TE'!$U$48</f>
        <v>0</v>
      </c>
      <c r="V6" s="26">
        <f>'TR TE'!$V$6*'TR TE'!$V$48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TE'!$Z$48</f>
        <v>0</v>
      </c>
      <c r="AA6" s="26">
        <f>SUM($Z$6:$Z$6)</f>
        <v>0</v>
      </c>
      <c r="AB6" s="26">
        <f>SUMIF($L$4:$AA$4,"SUBTOTAL",$L$6:$AA$6)</f>
        <v>147.05915364670506</v>
      </c>
    </row>
    <row r="7" spans="1:28" ht="11.25" customHeight="1" x14ac:dyDescent="0.25">
      <c r="A7" s="99" t="s">
        <v>22</v>
      </c>
      <c r="B7" s="99" t="s">
        <v>71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'TR TE'!$L$7*'TR TE'!$L$48</f>
        <v>0</v>
      </c>
      <c r="M7" s="26">
        <f>'TR TE'!$M$7*'TR TE'!$M$48</f>
        <v>0</v>
      </c>
      <c r="N7" s="26">
        <f>'TR TE'!$N$7*'TR TE'!$N$48</f>
        <v>0</v>
      </c>
      <c r="O7" s="26">
        <f>'TR TE'!$O$7*'TR TE'!$O$48</f>
        <v>0</v>
      </c>
      <c r="P7" s="26">
        <f>'TR TE'!$P$7*'TR TE'!$P$48</f>
        <v>0</v>
      </c>
      <c r="Q7" s="26">
        <f>SUM($L$7:$P$7)</f>
        <v>0</v>
      </c>
      <c r="R7" s="26">
        <f>'TR TE'!$R$7*'TR TE'!$R$48</f>
        <v>147.05915364670506</v>
      </c>
      <c r="S7" s="26">
        <f>SUM($R$7:$R$7)</f>
        <v>147.05915364670506</v>
      </c>
      <c r="T7" s="26">
        <f>'TR TE'!$T$7*'TR TE'!$T$48</f>
        <v>0</v>
      </c>
      <c r="U7" s="26">
        <f>'TR TE'!$U$7*'TR TE'!$U$48</f>
        <v>0</v>
      </c>
      <c r="V7" s="26">
        <f>'TR TE'!$V$7*'TR TE'!$V$48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TE'!$Z$48</f>
        <v>0</v>
      </c>
      <c r="AA7" s="26">
        <f>SUM($Z$7:$Z$7)</f>
        <v>0</v>
      </c>
      <c r="AB7" s="26">
        <f>SUMIF($L$4:$AA$4,"SUBTOTAL",$L$7:$AA$7)</f>
        <v>147.05915364670506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72</v>
      </c>
      <c r="I8" s="29">
        <f>'MERCADO TE'!$U$5</f>
        <v>0</v>
      </c>
      <c r="J8" s="15"/>
      <c r="L8" s="26">
        <f>'TR TE'!$L$8*'TR TE'!$L$48</f>
        <v>0</v>
      </c>
      <c r="M8" s="26">
        <f>'TR TE'!$M$8*'TR TE'!$M$48</f>
        <v>0</v>
      </c>
      <c r="N8" s="26">
        <f>'TR TE'!$N$8*'TR TE'!$N$48</f>
        <v>0</v>
      </c>
      <c r="O8" s="26">
        <f>'TR TE'!$O$8*'TR TE'!$O$48</f>
        <v>0</v>
      </c>
      <c r="P8" s="26">
        <f>'TR TE'!$P$8*'TR TE'!$P$48</f>
        <v>0</v>
      </c>
      <c r="Q8" s="26">
        <f>SUM($L$8:$P$8)</f>
        <v>0</v>
      </c>
      <c r="R8" s="26">
        <f>'TR TE'!$R$8*'TR TE'!$R$48</f>
        <v>147.05915364670506</v>
      </c>
      <c r="S8" s="26">
        <f>SUM($R$8:$R$8)</f>
        <v>147.05915364670506</v>
      </c>
      <c r="T8" s="26">
        <f>'TR TE'!$T$8*'TR TE'!$T$48</f>
        <v>0</v>
      </c>
      <c r="U8" s="26">
        <f>'TR TE'!$U$8*'TR TE'!$U$48</f>
        <v>0</v>
      </c>
      <c r="V8" s="26">
        <f>'TR TE'!$V$8*'TR TE'!$V$48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TE'!$Z$48</f>
        <v>0</v>
      </c>
      <c r="AA8" s="26">
        <f>SUM($Z$8:$Z$8)</f>
        <v>0</v>
      </c>
      <c r="AB8" s="26">
        <f>SUMIF($L$4:$AA$4,"SUBTOTAL",$L$8:$AA$8)</f>
        <v>147.05915364670506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74</v>
      </c>
      <c r="H9" s="29" t="s">
        <v>72</v>
      </c>
      <c r="I9" s="29">
        <f>'MERCADO TE'!$U$6</f>
        <v>0</v>
      </c>
      <c r="J9" s="15"/>
      <c r="L9" s="26">
        <f>'TR TE'!$L$9*'TR TE'!$L$48</f>
        <v>0</v>
      </c>
      <c r="M9" s="26">
        <f>'TR TE'!$M$9*'TR TE'!$M$48</f>
        <v>0</v>
      </c>
      <c r="N9" s="26">
        <f>'TR TE'!$N$9*'TR TE'!$N$48</f>
        <v>0</v>
      </c>
      <c r="O9" s="26">
        <f>'TR TE'!$O$9*'TR TE'!$O$48</f>
        <v>0</v>
      </c>
      <c r="P9" s="26">
        <f>'TR TE'!$P$9*'TR TE'!$P$48</f>
        <v>0</v>
      </c>
      <c r="Q9" s="26">
        <f>SUM($L$9:$P$9)</f>
        <v>0</v>
      </c>
      <c r="R9" s="26">
        <f>'TR TE'!$R$9*'TR TE'!$R$48</f>
        <v>147.05915364670506</v>
      </c>
      <c r="S9" s="26">
        <f>SUM($R$9:$R$9)</f>
        <v>147.05915364670506</v>
      </c>
      <c r="T9" s="26">
        <f>'TR TE'!$T$9*'TR TE'!$T$48</f>
        <v>0</v>
      </c>
      <c r="U9" s="26">
        <f>'TR TE'!$U$9*'TR TE'!$U$48</f>
        <v>0</v>
      </c>
      <c r="V9" s="26">
        <f>'TR TE'!$V$9*'TR TE'!$V$48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TE'!$Z$48</f>
        <v>0</v>
      </c>
      <c r="AA9" s="26">
        <f>SUM($Z$9:$Z$9)</f>
        <v>0</v>
      </c>
      <c r="AB9" s="26">
        <f>SUMIF($L$4:$AA$4,"SUBTOTAL",$L$9:$AA$9)</f>
        <v>147.05915364670506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72</v>
      </c>
      <c r="I10" s="29">
        <f>'MERCADO TE'!$U$7</f>
        <v>30172.235000000001</v>
      </c>
      <c r="J10" s="15"/>
      <c r="L10" s="26">
        <f>'TR TE'!$L$10*'TR TE'!$L$48</f>
        <v>0</v>
      </c>
      <c r="M10" s="26">
        <f>'TR TE'!$M$10*'TR TE'!$M$48</f>
        <v>0</v>
      </c>
      <c r="N10" s="26">
        <f>'TR TE'!$N$10*'TR TE'!$N$48</f>
        <v>0</v>
      </c>
      <c r="O10" s="26">
        <f>'TR TE'!$O$10*'TR TE'!$O$48</f>
        <v>0</v>
      </c>
      <c r="P10" s="26">
        <f>'TR TE'!$P$10*'TR TE'!$P$48</f>
        <v>0</v>
      </c>
      <c r="Q10" s="26">
        <f>SUM($L$10:$P$10)</f>
        <v>0</v>
      </c>
      <c r="R10" s="26">
        <f>'TR TE'!$R$10*'TR TE'!$R$48</f>
        <v>147.05915364670506</v>
      </c>
      <c r="S10" s="26">
        <f>SUM($R$10:$R$10)</f>
        <v>147.05915364670506</v>
      </c>
      <c r="T10" s="26">
        <f>'TR TE'!$T$10*'TR TE'!$T$48</f>
        <v>0</v>
      </c>
      <c r="U10" s="26">
        <f>'TR TE'!$U$10*'TR TE'!$U$48</f>
        <v>0</v>
      </c>
      <c r="V10" s="26">
        <f>'TR TE'!$V$10*'TR TE'!$V$48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TE'!$Z$48</f>
        <v>0</v>
      </c>
      <c r="AA10" s="26">
        <f>SUM($Z$10:$Z$10)</f>
        <v>0</v>
      </c>
      <c r="AB10" s="26">
        <f>SUMIF($L$4:$AA$4,"SUBTOTAL",$L$10:$AA$10)</f>
        <v>147.05915364670506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72</v>
      </c>
      <c r="I11" s="29">
        <f>'MERCADO TE'!$U$8</f>
        <v>191.77800000000005</v>
      </c>
      <c r="J11" s="15"/>
      <c r="L11" s="26">
        <f>'TR TE'!$L$11*'TR TE'!$L$48</f>
        <v>0</v>
      </c>
      <c r="M11" s="26">
        <f>'TR TE'!$M$11*'TR TE'!$M$48</f>
        <v>0</v>
      </c>
      <c r="N11" s="26">
        <f>'TR TE'!$N$11*'TR TE'!$N$48</f>
        <v>0</v>
      </c>
      <c r="O11" s="26">
        <f>'TR TE'!$O$11*'TR TE'!$O$48</f>
        <v>0</v>
      </c>
      <c r="P11" s="26">
        <f>'TR TE'!$P$11*'TR TE'!$P$48</f>
        <v>0</v>
      </c>
      <c r="Q11" s="26">
        <f>SUM($L$11:$P$11)</f>
        <v>0</v>
      </c>
      <c r="R11" s="26">
        <f>'TR TE'!$R$11*'TR TE'!$R$48</f>
        <v>147.05915364670506</v>
      </c>
      <c r="S11" s="26">
        <f>SUM($R$11:$R$11)</f>
        <v>147.05915364670506</v>
      </c>
      <c r="T11" s="26">
        <f>'TR TE'!$T$11*'TR TE'!$T$48</f>
        <v>0</v>
      </c>
      <c r="U11" s="26">
        <f>'TR TE'!$U$11*'TR TE'!$U$48</f>
        <v>0</v>
      </c>
      <c r="V11" s="26">
        <f>'TR TE'!$V$11*'TR TE'!$V$48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TE'!$Z$48</f>
        <v>0</v>
      </c>
      <c r="AA11" s="26">
        <f>SUM($Z$11:$Z$11)</f>
        <v>0</v>
      </c>
      <c r="AB11" s="26">
        <f>SUMIF($L$4:$AA$4,"SUBTOTAL",$L$11:$AA$11)</f>
        <v>147.05915364670506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72</v>
      </c>
      <c r="I12" s="29">
        <f>'MERCADO TE'!$U$9</f>
        <v>421.79500000000002</v>
      </c>
      <c r="J12" s="15"/>
      <c r="L12" s="26">
        <f>'TR TE'!$L$12*'TR TE'!$L$48</f>
        <v>0</v>
      </c>
      <c r="M12" s="26">
        <f>'TR TE'!$M$12*'TR TE'!$M$48</f>
        <v>0</v>
      </c>
      <c r="N12" s="26">
        <f>'TR TE'!$N$12*'TR TE'!$N$48</f>
        <v>0</v>
      </c>
      <c r="O12" s="26">
        <f>'TR TE'!$O$12*'TR TE'!$O$48</f>
        <v>0</v>
      </c>
      <c r="P12" s="26">
        <f>'TR TE'!$P$12*'TR TE'!$P$48</f>
        <v>0</v>
      </c>
      <c r="Q12" s="26">
        <f>SUM($L$12:$P$12)</f>
        <v>0</v>
      </c>
      <c r="R12" s="26">
        <f>'TR TE'!$R$12*'TR TE'!$R$48</f>
        <v>147.05915364670506</v>
      </c>
      <c r="S12" s="26">
        <f>SUM($R$12:$R$12)</f>
        <v>147.05915364670506</v>
      </c>
      <c r="T12" s="26">
        <f>'TR TE'!$T$12*'TR TE'!$T$48</f>
        <v>0</v>
      </c>
      <c r="U12" s="26">
        <f>'TR TE'!$U$12*'TR TE'!$U$48</f>
        <v>0</v>
      </c>
      <c r="V12" s="26">
        <f>'TR TE'!$V$12*'TR TE'!$V$48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TE'!$Z$48</f>
        <v>0</v>
      </c>
      <c r="AA12" s="26">
        <f>SUM($Z$12:$Z$12)</f>
        <v>0</v>
      </c>
      <c r="AB12" s="26">
        <f>SUMIF($L$4:$AA$4,"SUBTOTAL",$L$12:$AA$12)</f>
        <v>147.05915364670506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72</v>
      </c>
      <c r="I13" s="29">
        <f>'MERCADO TE'!$U$10</f>
        <v>486.94200000000001</v>
      </c>
      <c r="J13" s="15"/>
      <c r="L13" s="26">
        <f>'TR TE'!$L$13*'TR TE'!$L$48</f>
        <v>0</v>
      </c>
      <c r="M13" s="26">
        <f>'TR TE'!$M$13*'TR TE'!$M$48</f>
        <v>0</v>
      </c>
      <c r="N13" s="26">
        <f>'TR TE'!$N$13*'TR TE'!$N$48</f>
        <v>0</v>
      </c>
      <c r="O13" s="26">
        <f>'TR TE'!$O$13*'TR TE'!$O$48</f>
        <v>0</v>
      </c>
      <c r="P13" s="26">
        <f>'TR TE'!$P$13*'TR TE'!$P$48</f>
        <v>0</v>
      </c>
      <c r="Q13" s="26">
        <f>SUM($L$13:$P$13)</f>
        <v>0</v>
      </c>
      <c r="R13" s="26">
        <f>'TR TE'!$R$13*'TR TE'!$R$48</f>
        <v>147.05915364670506</v>
      </c>
      <c r="S13" s="26">
        <f>SUM($R$13:$R$13)</f>
        <v>147.05915364670506</v>
      </c>
      <c r="T13" s="26">
        <f>'TR TE'!$T$13*'TR TE'!$T$48</f>
        <v>0</v>
      </c>
      <c r="U13" s="26">
        <f>'TR TE'!$U$13*'TR TE'!$U$48</f>
        <v>0</v>
      </c>
      <c r="V13" s="26">
        <f>'TR TE'!$V$13*'TR TE'!$V$48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TE'!$Z$48</f>
        <v>0</v>
      </c>
      <c r="AA13" s="26">
        <f>SUM($Z$13:$Z$13)</f>
        <v>0</v>
      </c>
      <c r="AB13" s="26">
        <f>SUMIF($L$4:$AA$4,"SUBTOTAL",$L$13:$AA$13)</f>
        <v>147.05915364670506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72</v>
      </c>
      <c r="I14" s="29">
        <f>'MERCADO TE'!$U$11</f>
        <v>233.18899999999999</v>
      </c>
      <c r="J14" s="15"/>
      <c r="L14" s="26">
        <f>'TR TE'!$L$14*'TR TE'!$L$48</f>
        <v>0</v>
      </c>
      <c r="M14" s="26">
        <f>'TR TE'!$M$14*'TR TE'!$M$48</f>
        <v>0</v>
      </c>
      <c r="N14" s="26">
        <f>'TR TE'!$N$14*'TR TE'!$N$48</f>
        <v>0</v>
      </c>
      <c r="O14" s="26">
        <f>'TR TE'!$O$14*'TR TE'!$O$48</f>
        <v>0</v>
      </c>
      <c r="P14" s="26">
        <f>'TR TE'!$P$14*'TR TE'!$P$48</f>
        <v>0</v>
      </c>
      <c r="Q14" s="26">
        <f>SUM($L$14:$P$14)</f>
        <v>0</v>
      </c>
      <c r="R14" s="26">
        <f>'TR TE'!$R$14*'TR TE'!$R$48</f>
        <v>147.05915364670506</v>
      </c>
      <c r="S14" s="26">
        <f>SUM($R$14:$R$14)</f>
        <v>147.05915364670506</v>
      </c>
      <c r="T14" s="26">
        <f>'TR TE'!$T$14*'TR TE'!$T$48</f>
        <v>0</v>
      </c>
      <c r="U14" s="26">
        <f>'TR TE'!$U$14*'TR TE'!$U$48</f>
        <v>0</v>
      </c>
      <c r="V14" s="26">
        <f>'TR TE'!$V$14*'TR TE'!$V$48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TE'!$Z$48</f>
        <v>0</v>
      </c>
      <c r="AA14" s="26">
        <f>SUM($Z$14:$Z$14)</f>
        <v>0</v>
      </c>
      <c r="AB14" s="26">
        <f>SUMIF($L$4:$AA$4,"SUBTOTAL",$L$14:$AA$14)</f>
        <v>147.05915364670506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72</v>
      </c>
      <c r="I15" s="29">
        <f>'MERCADO TE'!$U$12</f>
        <v>0</v>
      </c>
      <c r="J15" s="15"/>
      <c r="L15" s="26">
        <f>'TR TE'!$L$15*'TR TE'!$L$48</f>
        <v>0</v>
      </c>
      <c r="M15" s="26">
        <f>'TR TE'!$M$15*'TR TE'!$M$48</f>
        <v>0</v>
      </c>
      <c r="N15" s="26">
        <f>'TR TE'!$N$15*'TR TE'!$N$48</f>
        <v>0</v>
      </c>
      <c r="O15" s="26">
        <f>'TR TE'!$O$15*'TR TE'!$O$48</f>
        <v>0</v>
      </c>
      <c r="P15" s="26">
        <f>'TR TE'!$P$15*'TR TE'!$P$48</f>
        <v>0</v>
      </c>
      <c r="Q15" s="26">
        <f>SUM($L$15:$P$15)</f>
        <v>0</v>
      </c>
      <c r="R15" s="26">
        <f>'TR TE'!$R$15*'TR TE'!$R$48</f>
        <v>147.05915364670506</v>
      </c>
      <c r="S15" s="26">
        <f>SUM($R$15:$R$15)</f>
        <v>147.05915364670506</v>
      </c>
      <c r="T15" s="26">
        <f>'TR TE'!$T$15*'TR TE'!$T$48</f>
        <v>0</v>
      </c>
      <c r="U15" s="26">
        <f>'TR TE'!$U$15*'TR TE'!$U$48</f>
        <v>0</v>
      </c>
      <c r="V15" s="26">
        <f>'TR TE'!$V$15*'TR TE'!$V$48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TE'!$Z$48</f>
        <v>0</v>
      </c>
      <c r="AA15" s="26">
        <f>SUM($Z$15:$Z$15)</f>
        <v>0</v>
      </c>
      <c r="AB15" s="26">
        <f>SUMIF($L$4:$AA$4,"SUBTOTAL",$L$15:$AA$15)</f>
        <v>147.05915364670506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72</v>
      </c>
      <c r="I16" s="29">
        <f>'MERCADO TE'!$U$13</f>
        <v>0</v>
      </c>
      <c r="J16" s="15"/>
      <c r="L16" s="26">
        <f>'TR TE'!$L$16*'TR TE'!$L$48</f>
        <v>0</v>
      </c>
      <c r="M16" s="26">
        <f>'TR TE'!$M$16*'TR TE'!$M$48</f>
        <v>0</v>
      </c>
      <c r="N16" s="26">
        <f>'TR TE'!$N$16*'TR TE'!$N$48</f>
        <v>0</v>
      </c>
      <c r="O16" s="26">
        <f>'TR TE'!$O$16*'TR TE'!$O$48</f>
        <v>0</v>
      </c>
      <c r="P16" s="26">
        <f>'TR TE'!$P$16*'TR TE'!$P$48</f>
        <v>0</v>
      </c>
      <c r="Q16" s="26">
        <f>SUM($L$16:$P$16)</f>
        <v>0</v>
      </c>
      <c r="R16" s="26">
        <f>'TR TE'!$R$16*'TR TE'!$R$48</f>
        <v>147.05915364670506</v>
      </c>
      <c r="S16" s="26">
        <f>SUM($R$16:$R$16)</f>
        <v>147.05915364670506</v>
      </c>
      <c r="T16" s="26">
        <f>'TR TE'!$T$16*'TR TE'!$T$48</f>
        <v>0</v>
      </c>
      <c r="U16" s="26">
        <f>'TR TE'!$U$16*'TR TE'!$U$48</f>
        <v>0</v>
      </c>
      <c r="V16" s="26">
        <f>'TR TE'!$V$16*'TR TE'!$V$48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TE'!$Z$48</f>
        <v>0</v>
      </c>
      <c r="AA16" s="26">
        <f>SUM($Z$16:$Z$16)</f>
        <v>0</v>
      </c>
      <c r="AB16" s="26">
        <f>SUMIF($L$4:$AA$4,"SUBTOTAL",$L$16:$AA$16)</f>
        <v>147.05915364670506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72</v>
      </c>
      <c r="I17" s="29">
        <f>'MERCADO TE'!$U$14</f>
        <v>0</v>
      </c>
      <c r="J17" s="15"/>
      <c r="L17" s="26">
        <f>'TR TE'!$L$17*'TR TE'!$L$48</f>
        <v>0</v>
      </c>
      <c r="M17" s="26">
        <f>'TR TE'!$M$17*'TR TE'!$M$48</f>
        <v>0</v>
      </c>
      <c r="N17" s="26">
        <f>'TR TE'!$N$17*'TR TE'!$N$48</f>
        <v>0</v>
      </c>
      <c r="O17" s="26">
        <f>'TR TE'!$O$17*'TR TE'!$O$48</f>
        <v>0</v>
      </c>
      <c r="P17" s="26">
        <f>'TR TE'!$P$17*'TR TE'!$P$48</f>
        <v>0</v>
      </c>
      <c r="Q17" s="26">
        <f>SUM($L$17:$P$17)</f>
        <v>0</v>
      </c>
      <c r="R17" s="26">
        <f>'TR TE'!$R$17*'TR TE'!$R$48</f>
        <v>147.05915364670506</v>
      </c>
      <c r="S17" s="26">
        <f>SUM($R$17:$R$17)</f>
        <v>147.05915364670506</v>
      </c>
      <c r="T17" s="26">
        <f>'TR TE'!$T$17*'TR TE'!$T$48</f>
        <v>0</v>
      </c>
      <c r="U17" s="26">
        <f>'TR TE'!$U$17*'TR TE'!$U$48</f>
        <v>0</v>
      </c>
      <c r="V17" s="26">
        <f>'TR TE'!$V$17*'TR TE'!$V$48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TE'!$Z$48</f>
        <v>0</v>
      </c>
      <c r="AA17" s="26">
        <f>SUM($Z$17:$Z$17)</f>
        <v>0</v>
      </c>
      <c r="AB17" s="26">
        <f>SUMIF($L$4:$AA$4,"SUBTOTAL",$L$17:$AA$17)</f>
        <v>147.05915364670506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72</v>
      </c>
      <c r="I18" s="29">
        <f>'MERCADO TE'!$U$15</f>
        <v>0</v>
      </c>
      <c r="J18" s="15"/>
      <c r="L18" s="26">
        <f>'TR TE'!$L$18*'TR TE'!$L$48</f>
        <v>0</v>
      </c>
      <c r="M18" s="26">
        <f>'TR TE'!$M$18*'TR TE'!$M$48</f>
        <v>0</v>
      </c>
      <c r="N18" s="26">
        <f>'TR TE'!$N$18*'TR TE'!$N$48</f>
        <v>0</v>
      </c>
      <c r="O18" s="26">
        <f>'TR TE'!$O$18*'TR TE'!$O$48</f>
        <v>0</v>
      </c>
      <c r="P18" s="26">
        <f>'TR TE'!$P$18*'TR TE'!$P$48</f>
        <v>0</v>
      </c>
      <c r="Q18" s="26">
        <f>SUM($L$18:$P$18)</f>
        <v>0</v>
      </c>
      <c r="R18" s="26">
        <f>'TR TE'!$R$18*'TR TE'!$R$48</f>
        <v>147.05915364670506</v>
      </c>
      <c r="S18" s="26">
        <f>SUM($R$18:$R$18)</f>
        <v>147.05915364670506</v>
      </c>
      <c r="T18" s="26">
        <f>'TR TE'!$T$18*'TR TE'!$T$48</f>
        <v>0</v>
      </c>
      <c r="U18" s="26">
        <f>'TR TE'!$U$18*'TR TE'!$U$48</f>
        <v>0</v>
      </c>
      <c r="V18" s="26">
        <f>'TR TE'!$V$18*'TR TE'!$V$48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TE'!$Z$48</f>
        <v>0</v>
      </c>
      <c r="AA18" s="26">
        <f>SUM($Z$18:$Z$18)</f>
        <v>0</v>
      </c>
      <c r="AB18" s="26">
        <f>SUMIF($L$4:$AA$4,"SUBTOTAL",$L$18:$AA$18)</f>
        <v>147.05915364670506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72</v>
      </c>
      <c r="I19" s="29">
        <f>'MERCADO TE'!$U$16</f>
        <v>0</v>
      </c>
      <c r="J19" s="15"/>
      <c r="L19" s="26">
        <f>'TR TE'!$L$19*'TR TE'!$L$48</f>
        <v>0</v>
      </c>
      <c r="M19" s="26">
        <f>'TR TE'!$M$19*'TR TE'!$M$48</f>
        <v>0</v>
      </c>
      <c r="N19" s="26">
        <f>'TR TE'!$N$19*'TR TE'!$N$48</f>
        <v>0</v>
      </c>
      <c r="O19" s="26">
        <f>'TR TE'!$O$19*'TR TE'!$O$48</f>
        <v>0</v>
      </c>
      <c r="P19" s="26">
        <f>'TR TE'!$P$19*'TR TE'!$P$48</f>
        <v>0</v>
      </c>
      <c r="Q19" s="26">
        <f>SUM($L$19:$P$19)</f>
        <v>0</v>
      </c>
      <c r="R19" s="26">
        <f>'TR TE'!$R$19*'TR TE'!$R$48</f>
        <v>147.05915364670506</v>
      </c>
      <c r="S19" s="26">
        <f>SUM($R$19:$R$19)</f>
        <v>147.05915364670506</v>
      </c>
      <c r="T19" s="26">
        <f>'TR TE'!$T$19*'TR TE'!$T$48</f>
        <v>0</v>
      </c>
      <c r="U19" s="26">
        <f>'TR TE'!$U$19*'TR TE'!$U$48</f>
        <v>0</v>
      </c>
      <c r="V19" s="26">
        <f>'TR TE'!$V$19*'TR TE'!$V$48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TE'!$Z$48</f>
        <v>0</v>
      </c>
      <c r="AA19" s="26">
        <f>SUM($Z$19:$Z$19)</f>
        <v>0</v>
      </c>
      <c r="AB19" s="26">
        <f>SUMIF($L$4:$AA$4,"SUBTOTAL",$L$19:$AA$19)</f>
        <v>147.05915364670506</v>
      </c>
    </row>
    <row r="20" spans="1:28" ht="11.25" customHeight="1" x14ac:dyDescent="0.25">
      <c r="A20" s="99" t="s">
        <v>43</v>
      </c>
      <c r="B20" s="99" t="s">
        <v>71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'TR TE'!$L$20*'TR TE'!$L$48</f>
        <v>0</v>
      </c>
      <c r="M20" s="26">
        <f>'TR TE'!$M$20*'TR TE'!$M$48</f>
        <v>0</v>
      </c>
      <c r="N20" s="26">
        <f>'TR TE'!$N$20*'TR TE'!$N$48</f>
        <v>0</v>
      </c>
      <c r="O20" s="26">
        <f>'TR TE'!$O$20*'TR TE'!$O$48</f>
        <v>0</v>
      </c>
      <c r="P20" s="26">
        <f>'TR TE'!$P$20*'TR TE'!$P$48</f>
        <v>0</v>
      </c>
      <c r="Q20" s="26">
        <f>SUM($L$20:$P$20)</f>
        <v>0</v>
      </c>
      <c r="R20" s="26">
        <f>'TR TE'!$R$20*'TR TE'!$R$48</f>
        <v>147.05915364670506</v>
      </c>
      <c r="S20" s="26">
        <f>SUM($R$20:$R$20)</f>
        <v>147.05915364670506</v>
      </c>
      <c r="T20" s="26">
        <f>'TR TE'!$T$20*'TR TE'!$T$48</f>
        <v>0</v>
      </c>
      <c r="U20" s="26">
        <f>'TR TE'!$U$20*'TR TE'!$U$48</f>
        <v>0</v>
      </c>
      <c r="V20" s="26">
        <f>'TR TE'!$V$20*'TR TE'!$V$48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TE'!$Z$48</f>
        <v>0</v>
      </c>
      <c r="AA20" s="26">
        <f>SUM($Z$20:$Z$20)</f>
        <v>0</v>
      </c>
      <c r="AB20" s="26">
        <f>SUMIF($L$4:$AA$4,"SUBTOTAL",$L$20:$AA$20)</f>
        <v>147.05915364670506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72</v>
      </c>
      <c r="I21" s="29">
        <f>'MERCADO TE'!$U$18</f>
        <v>0</v>
      </c>
      <c r="J21" s="15"/>
      <c r="L21" s="26">
        <f>'TR TE'!$L$21*'TR TE'!$L$48</f>
        <v>0</v>
      </c>
      <c r="M21" s="26">
        <f>'TR TE'!$M$21*'TR TE'!$M$48</f>
        <v>0</v>
      </c>
      <c r="N21" s="26">
        <f>'TR TE'!$N$21*'TR TE'!$N$48</f>
        <v>0</v>
      </c>
      <c r="O21" s="26">
        <f>'TR TE'!$O$21*'TR TE'!$O$48</f>
        <v>0</v>
      </c>
      <c r="P21" s="26">
        <f>'TR TE'!$P$21*'TR TE'!$P$48</f>
        <v>0</v>
      </c>
      <c r="Q21" s="26">
        <f>SUM($L$21:$P$21)</f>
        <v>0</v>
      </c>
      <c r="R21" s="26">
        <f>'TR TE'!$R$21*'TR TE'!$R$48</f>
        <v>147.05915364670506</v>
      </c>
      <c r="S21" s="26">
        <f>SUM($R$21:$R$21)</f>
        <v>147.05915364670506</v>
      </c>
      <c r="T21" s="26">
        <f>'TR TE'!$T$21*'TR TE'!$T$48</f>
        <v>0</v>
      </c>
      <c r="U21" s="26">
        <f>'TR TE'!$U$21*'TR TE'!$U$48</f>
        <v>0</v>
      </c>
      <c r="V21" s="26">
        <f>'TR TE'!$V$21*'TR TE'!$V$48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TE'!$Z$48</f>
        <v>0</v>
      </c>
      <c r="AA21" s="26">
        <f>SUM($Z$21:$Z$21)</f>
        <v>0</v>
      </c>
      <c r="AB21" s="26">
        <f>SUMIF($L$4:$AA$4,"SUBTOTAL",$L$21:$AA$21)</f>
        <v>147.05915364670506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74</v>
      </c>
      <c r="H22" s="29" t="s">
        <v>72</v>
      </c>
      <c r="I22" s="29">
        <f>'MERCADO TE'!$U$19</f>
        <v>0</v>
      </c>
      <c r="J22" s="15"/>
      <c r="L22" s="26">
        <f>'TR TE'!$L$22*'TR TE'!$L$48</f>
        <v>0</v>
      </c>
      <c r="M22" s="26">
        <f>'TR TE'!$M$22*'TR TE'!$M$48</f>
        <v>0</v>
      </c>
      <c r="N22" s="26">
        <f>'TR TE'!$N$22*'TR TE'!$N$48</f>
        <v>0</v>
      </c>
      <c r="O22" s="26">
        <f>'TR TE'!$O$22*'TR TE'!$O$48</f>
        <v>0</v>
      </c>
      <c r="P22" s="26">
        <f>'TR TE'!$P$22*'TR TE'!$P$48</f>
        <v>0</v>
      </c>
      <c r="Q22" s="26">
        <f>SUM($L$22:$P$22)</f>
        <v>0</v>
      </c>
      <c r="R22" s="26">
        <f>'TR TE'!$R$22*'TR TE'!$R$48</f>
        <v>147.05915364670506</v>
      </c>
      <c r="S22" s="26">
        <f>SUM($R$22:$R$22)</f>
        <v>147.05915364670506</v>
      </c>
      <c r="T22" s="26">
        <f>'TR TE'!$T$22*'TR TE'!$T$48</f>
        <v>0</v>
      </c>
      <c r="U22" s="26">
        <f>'TR TE'!$U$22*'TR TE'!$U$48</f>
        <v>0</v>
      </c>
      <c r="V22" s="26">
        <f>'TR TE'!$V$22*'TR TE'!$V$48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TE'!$Z$48</f>
        <v>0</v>
      </c>
      <c r="AA22" s="26">
        <f>SUM($Z$22:$Z$22)</f>
        <v>0</v>
      </c>
      <c r="AB22" s="26">
        <f>SUMIF($L$4:$AA$4,"SUBTOTAL",$L$22:$AA$22)</f>
        <v>147.05915364670506</v>
      </c>
    </row>
    <row r="23" spans="1:28" ht="11.25" customHeight="1" x14ac:dyDescent="0.25">
      <c r="A23" s="99"/>
      <c r="B23" s="28" t="s">
        <v>85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72</v>
      </c>
      <c r="I23" s="29">
        <f>'MERCADO TE'!$U$20</f>
        <v>3201.45</v>
      </c>
      <c r="J23" s="15"/>
      <c r="L23" s="26">
        <f>'TR TE'!$L$23*'TR TE'!$L$48</f>
        <v>0</v>
      </c>
      <c r="M23" s="26">
        <f>'TR TE'!$M$23*'TR TE'!$M$48</f>
        <v>0</v>
      </c>
      <c r="N23" s="26">
        <f>'TR TE'!$N$23*'TR TE'!$N$48</f>
        <v>0</v>
      </c>
      <c r="O23" s="26">
        <f>'TR TE'!$O$23*'TR TE'!$O$48</f>
        <v>0</v>
      </c>
      <c r="P23" s="26">
        <f>'TR TE'!$P$23*'TR TE'!$P$48</f>
        <v>0</v>
      </c>
      <c r="Q23" s="26">
        <f>SUM($L$23:$P$23)</f>
        <v>0</v>
      </c>
      <c r="R23" s="26">
        <f>'TR TE'!$R$23*'TR TE'!$R$48</f>
        <v>147.05915364670506</v>
      </c>
      <c r="S23" s="26">
        <f>SUM($R$23:$R$23)</f>
        <v>147.05915364670506</v>
      </c>
      <c r="T23" s="26">
        <f>'TR TE'!$T$23*'TR TE'!$T$48</f>
        <v>0</v>
      </c>
      <c r="U23" s="26">
        <f>'TR TE'!$U$23*'TR TE'!$U$48</f>
        <v>0</v>
      </c>
      <c r="V23" s="26">
        <f>'TR TE'!$V$23*'TR TE'!$V$48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TE'!$Z$48</f>
        <v>0</v>
      </c>
      <c r="AA23" s="26">
        <f>SUM($Z$23:$Z$23)</f>
        <v>0</v>
      </c>
      <c r="AB23" s="26">
        <f>SUMIF($L$4:$AA$4,"SUBTOTAL",$L$23:$AA$23)</f>
        <v>147.05915364670506</v>
      </c>
    </row>
    <row r="24" spans="1:28" ht="11.25" customHeight="1" x14ac:dyDescent="0.25">
      <c r="A24" s="99"/>
      <c r="B24" s="99" t="s">
        <v>71</v>
      </c>
      <c r="C24" s="99" t="s">
        <v>44</v>
      </c>
      <c r="D24" s="99" t="s">
        <v>88</v>
      </c>
      <c r="E24" s="99" t="s">
        <v>25</v>
      </c>
      <c r="F24" s="99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'TR TE'!$L$24*'TR TE'!$L$48</f>
        <v>0</v>
      </c>
      <c r="M24" s="26">
        <f>'TR TE'!$M$24*'TR TE'!$M$48</f>
        <v>0</v>
      </c>
      <c r="N24" s="26">
        <f>'TR TE'!$N$24*'TR TE'!$N$48</f>
        <v>0</v>
      </c>
      <c r="O24" s="26">
        <f>'TR TE'!$O$24*'TR TE'!$O$48</f>
        <v>0</v>
      </c>
      <c r="P24" s="26">
        <f>'TR TE'!$P$24*'TR TE'!$P$48</f>
        <v>0</v>
      </c>
      <c r="Q24" s="26">
        <f>SUM($L$24:$P$24)</f>
        <v>0</v>
      </c>
      <c r="R24" s="26">
        <f>'TR TE'!$R$24*'TR TE'!$R$48</f>
        <v>147.05915364670506</v>
      </c>
      <c r="S24" s="26">
        <f>SUM($R$24:$R$24)</f>
        <v>147.05915364670506</v>
      </c>
      <c r="T24" s="26">
        <f>'TR TE'!$T$24*'TR TE'!$T$48</f>
        <v>0</v>
      </c>
      <c r="U24" s="26">
        <f>'TR TE'!$U$24*'TR TE'!$U$48</f>
        <v>0</v>
      </c>
      <c r="V24" s="26">
        <f>'TR TE'!$V$24*'TR TE'!$V$48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TE'!$Z$48</f>
        <v>0</v>
      </c>
      <c r="AA24" s="26">
        <f>SUM($Z$24:$Z$24)</f>
        <v>0</v>
      </c>
      <c r="AB24" s="26">
        <f>SUMIF($L$4:$AA$4,"SUBTOTAL",$L$24:$AA$24)</f>
        <v>147.05915364670506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72</v>
      </c>
      <c r="I25" s="29">
        <f>'MERCADO TE'!$U$22</f>
        <v>0</v>
      </c>
      <c r="J25" s="15"/>
      <c r="L25" s="26">
        <f>'TR TE'!$L$25*'TR TE'!$L$48</f>
        <v>0</v>
      </c>
      <c r="M25" s="26">
        <f>'TR TE'!$M$25*'TR TE'!$M$48</f>
        <v>0</v>
      </c>
      <c r="N25" s="26">
        <f>'TR TE'!$N$25*'TR TE'!$N$48</f>
        <v>0</v>
      </c>
      <c r="O25" s="26">
        <f>'TR TE'!$O$25*'TR TE'!$O$48</f>
        <v>0</v>
      </c>
      <c r="P25" s="26">
        <f>'TR TE'!$P$25*'TR TE'!$P$48</f>
        <v>0</v>
      </c>
      <c r="Q25" s="26">
        <f>SUM($L$25:$P$25)</f>
        <v>0</v>
      </c>
      <c r="R25" s="26">
        <f>'TR TE'!$R$25*'TR TE'!$R$48</f>
        <v>147.05915364670506</v>
      </c>
      <c r="S25" s="26">
        <f>SUM($R$25:$R$25)</f>
        <v>147.05915364670506</v>
      </c>
      <c r="T25" s="26">
        <f>'TR TE'!$T$25*'TR TE'!$T$48</f>
        <v>0</v>
      </c>
      <c r="U25" s="26">
        <f>'TR TE'!$U$25*'TR TE'!$U$48</f>
        <v>0</v>
      </c>
      <c r="V25" s="26">
        <f>'TR TE'!$V$25*'TR TE'!$V$48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TE'!$Z$48</f>
        <v>0</v>
      </c>
      <c r="AA25" s="26">
        <f>SUM($Z$25:$Z$25)</f>
        <v>0</v>
      </c>
      <c r="AB25" s="26">
        <f>SUMIF($L$4:$AA$4,"SUBTOTAL",$L$25:$AA$25)</f>
        <v>147.05915364670506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74</v>
      </c>
      <c r="H26" s="29" t="s">
        <v>72</v>
      </c>
      <c r="I26" s="29">
        <f>'MERCADO TE'!$U$23</f>
        <v>0</v>
      </c>
      <c r="J26" s="15"/>
      <c r="L26" s="26">
        <f>'TR TE'!$L$26*'TR TE'!$L$48</f>
        <v>0</v>
      </c>
      <c r="M26" s="26">
        <f>'TR TE'!$M$26*'TR TE'!$M$48</f>
        <v>0</v>
      </c>
      <c r="N26" s="26">
        <f>'TR TE'!$N$26*'TR TE'!$N$48</f>
        <v>0</v>
      </c>
      <c r="O26" s="26">
        <f>'TR TE'!$O$26*'TR TE'!$O$48</f>
        <v>0</v>
      </c>
      <c r="P26" s="26">
        <f>'TR TE'!$P$26*'TR TE'!$P$48</f>
        <v>0</v>
      </c>
      <c r="Q26" s="26">
        <f>SUM($L$26:$P$26)</f>
        <v>0</v>
      </c>
      <c r="R26" s="26">
        <f>'TR TE'!$R$26*'TR TE'!$R$48</f>
        <v>147.05915364670506</v>
      </c>
      <c r="S26" s="26">
        <f>SUM($R$26:$R$26)</f>
        <v>147.05915364670506</v>
      </c>
      <c r="T26" s="26">
        <f>'TR TE'!$T$26*'TR TE'!$T$48</f>
        <v>0</v>
      </c>
      <c r="U26" s="26">
        <f>'TR TE'!$U$26*'TR TE'!$U$48</f>
        <v>0</v>
      </c>
      <c r="V26" s="26">
        <f>'TR TE'!$V$26*'TR TE'!$V$48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TE'!$Z$48</f>
        <v>0</v>
      </c>
      <c r="AA26" s="26">
        <f>SUM($Z$26:$Z$26)</f>
        <v>0</v>
      </c>
      <c r="AB26" s="26">
        <f>SUMIF($L$4:$AA$4,"SUBTOTAL",$L$26:$AA$26)</f>
        <v>147.05915364670506</v>
      </c>
    </row>
    <row r="27" spans="1:28" ht="11.25" customHeight="1" x14ac:dyDescent="0.25">
      <c r="A27" s="99"/>
      <c r="B27" s="28" t="s">
        <v>85</v>
      </c>
      <c r="C27" s="28" t="s">
        <v>44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72</v>
      </c>
      <c r="I27" s="29">
        <f>'MERCADO TE'!$U$24</f>
        <v>0</v>
      </c>
      <c r="J27" s="15"/>
      <c r="L27" s="26">
        <f>'TR TE'!$L$27*'TR TE'!$L$48</f>
        <v>0</v>
      </c>
      <c r="M27" s="26">
        <f>'TR TE'!$M$27*'TR TE'!$M$48</f>
        <v>0</v>
      </c>
      <c r="N27" s="26">
        <f>'TR TE'!$N$27*'TR TE'!$N$48</f>
        <v>0</v>
      </c>
      <c r="O27" s="26">
        <f>'TR TE'!$O$27*'TR TE'!$O$48</f>
        <v>0</v>
      </c>
      <c r="P27" s="26">
        <f>'TR TE'!$P$27*'TR TE'!$P$48</f>
        <v>0</v>
      </c>
      <c r="Q27" s="26">
        <f>SUM($L$27:$P$27)</f>
        <v>0</v>
      </c>
      <c r="R27" s="26">
        <f>'TR TE'!$R$27*'TR TE'!$R$48</f>
        <v>147.05915364670506</v>
      </c>
      <c r="S27" s="26">
        <f>SUM($R$27:$R$27)</f>
        <v>147.05915364670506</v>
      </c>
      <c r="T27" s="26">
        <f>'TR TE'!$T$27*'TR TE'!$T$48</f>
        <v>0</v>
      </c>
      <c r="U27" s="26">
        <f>'TR TE'!$U$27*'TR TE'!$U$48</f>
        <v>0</v>
      </c>
      <c r="V27" s="26">
        <f>'TR TE'!$V$27*'TR TE'!$V$48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TE'!$Z$48</f>
        <v>0</v>
      </c>
      <c r="AA27" s="26">
        <f>SUM($Z$27:$Z$27)</f>
        <v>0</v>
      </c>
      <c r="AB27" s="26">
        <f>SUMIF($L$4:$AA$4,"SUBTOTAL",$L$27:$AA$27)</f>
        <v>147.05915364670506</v>
      </c>
    </row>
    <row r="28" spans="1:28" ht="11.25" customHeight="1" x14ac:dyDescent="0.25">
      <c r="A28" s="99"/>
      <c r="B28" s="99" t="s">
        <v>71</v>
      </c>
      <c r="C28" s="99" t="s">
        <v>44</v>
      </c>
      <c r="D28" s="99" t="s">
        <v>89</v>
      </c>
      <c r="E28" s="99" t="s">
        <v>25</v>
      </c>
      <c r="F28" s="99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'TR TE'!$L$28*'TR TE'!$L$48</f>
        <v>0</v>
      </c>
      <c r="M28" s="26">
        <f>'TR TE'!$M$28*'TR TE'!$M$48</f>
        <v>0</v>
      </c>
      <c r="N28" s="26">
        <f>'TR TE'!$N$28*'TR TE'!$N$48</f>
        <v>0</v>
      </c>
      <c r="O28" s="26">
        <f>'TR TE'!$O$28*'TR TE'!$O$48</f>
        <v>0</v>
      </c>
      <c r="P28" s="26">
        <f>'TR TE'!$P$28*'TR TE'!$P$48</f>
        <v>0</v>
      </c>
      <c r="Q28" s="26">
        <f>SUM($L$28:$P$28)</f>
        <v>0</v>
      </c>
      <c r="R28" s="26">
        <f>'TR TE'!$R$28*'TR TE'!$R$48</f>
        <v>147.05915364670506</v>
      </c>
      <c r="S28" s="26">
        <f>SUM($R$28:$R$28)</f>
        <v>147.05915364670506</v>
      </c>
      <c r="T28" s="26">
        <f>'TR TE'!$T$28*'TR TE'!$T$48</f>
        <v>0</v>
      </c>
      <c r="U28" s="26">
        <f>'TR TE'!$U$28*'TR TE'!$U$48</f>
        <v>0</v>
      </c>
      <c r="V28" s="26">
        <f>'TR TE'!$V$28*'TR TE'!$V$48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TE'!$Z$48</f>
        <v>0</v>
      </c>
      <c r="AA28" s="26">
        <f>SUM($Z$28:$Z$28)</f>
        <v>0</v>
      </c>
      <c r="AB28" s="26">
        <f>SUMIF($L$4:$AA$4,"SUBTOTAL",$L$28:$AA$28)</f>
        <v>147.05915364670506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72</v>
      </c>
      <c r="I29" s="29">
        <f>'MERCADO TE'!$U$26</f>
        <v>0</v>
      </c>
      <c r="J29" s="15"/>
      <c r="L29" s="26">
        <f>'TR TE'!$L$29*'TR TE'!$L$48</f>
        <v>0</v>
      </c>
      <c r="M29" s="26">
        <f>'TR TE'!$M$29*'TR TE'!$M$48</f>
        <v>0</v>
      </c>
      <c r="N29" s="26">
        <f>'TR TE'!$N$29*'TR TE'!$N$48</f>
        <v>0</v>
      </c>
      <c r="O29" s="26">
        <f>'TR TE'!$O$29*'TR TE'!$O$48</f>
        <v>0</v>
      </c>
      <c r="P29" s="26">
        <f>'TR TE'!$P$29*'TR TE'!$P$48</f>
        <v>0</v>
      </c>
      <c r="Q29" s="26">
        <f>SUM($L$29:$P$29)</f>
        <v>0</v>
      </c>
      <c r="R29" s="26">
        <f>'TR TE'!$R$29*'TR TE'!$R$48</f>
        <v>147.05915364670506</v>
      </c>
      <c r="S29" s="26">
        <f>SUM($R$29:$R$29)</f>
        <v>147.05915364670506</v>
      </c>
      <c r="T29" s="26">
        <f>'TR TE'!$T$29*'TR TE'!$T$48</f>
        <v>0</v>
      </c>
      <c r="U29" s="26">
        <f>'TR TE'!$U$29*'TR TE'!$U$48</f>
        <v>0</v>
      </c>
      <c r="V29" s="26">
        <f>'TR TE'!$V$29*'TR TE'!$V$48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TE'!$Z$48</f>
        <v>0</v>
      </c>
      <c r="AA29" s="26">
        <f>SUM($Z$29:$Z$29)</f>
        <v>0</v>
      </c>
      <c r="AB29" s="26">
        <f>SUMIF($L$4:$AA$4,"SUBTOTAL",$L$29:$AA$29)</f>
        <v>147.05915364670506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74</v>
      </c>
      <c r="H30" s="29" t="s">
        <v>72</v>
      </c>
      <c r="I30" s="29">
        <f>'MERCADO TE'!$U$27</f>
        <v>0</v>
      </c>
      <c r="J30" s="15"/>
      <c r="L30" s="26">
        <f>'TR TE'!$L$30*'TR TE'!$L$48</f>
        <v>0</v>
      </c>
      <c r="M30" s="26">
        <f>'TR TE'!$M$30*'TR TE'!$M$48</f>
        <v>0</v>
      </c>
      <c r="N30" s="26">
        <f>'TR TE'!$N$30*'TR TE'!$N$48</f>
        <v>0</v>
      </c>
      <c r="O30" s="26">
        <f>'TR TE'!$O$30*'TR TE'!$O$48</f>
        <v>0</v>
      </c>
      <c r="P30" s="26">
        <f>'TR TE'!$P$30*'TR TE'!$P$48</f>
        <v>0</v>
      </c>
      <c r="Q30" s="26">
        <f>SUM($L$30:$P$30)</f>
        <v>0</v>
      </c>
      <c r="R30" s="26">
        <f>'TR TE'!$R$30*'TR TE'!$R$48</f>
        <v>147.05915364670506</v>
      </c>
      <c r="S30" s="26">
        <f>SUM($R$30:$R$30)</f>
        <v>147.05915364670506</v>
      </c>
      <c r="T30" s="26">
        <f>'TR TE'!$T$30*'TR TE'!$T$48</f>
        <v>0</v>
      </c>
      <c r="U30" s="26">
        <f>'TR TE'!$U$30*'TR TE'!$U$48</f>
        <v>0</v>
      </c>
      <c r="V30" s="26">
        <f>'TR TE'!$V$30*'TR TE'!$V$48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TE'!$Z$48</f>
        <v>0</v>
      </c>
      <c r="AA30" s="26">
        <f>SUM($Z$30:$Z$30)</f>
        <v>0</v>
      </c>
      <c r="AB30" s="26">
        <f>SUMIF($L$4:$AA$4,"SUBTOTAL",$L$30:$AA$30)</f>
        <v>147.05915364670506</v>
      </c>
    </row>
    <row r="31" spans="1:28" ht="11.25" customHeight="1" x14ac:dyDescent="0.25">
      <c r="A31" s="99"/>
      <c r="B31" s="28" t="s">
        <v>85</v>
      </c>
      <c r="C31" s="28" t="s">
        <v>44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72</v>
      </c>
      <c r="I31" s="29">
        <f>'MERCADO TE'!$U$28</f>
        <v>0</v>
      </c>
      <c r="J31" s="15"/>
      <c r="L31" s="26">
        <f>'TR TE'!$L$31*'TR TE'!$L$48</f>
        <v>0</v>
      </c>
      <c r="M31" s="26">
        <f>'TR TE'!$M$31*'TR TE'!$M$48</f>
        <v>0</v>
      </c>
      <c r="N31" s="26">
        <f>'TR TE'!$N$31*'TR TE'!$N$48</f>
        <v>0</v>
      </c>
      <c r="O31" s="26">
        <f>'TR TE'!$O$31*'TR TE'!$O$48</f>
        <v>0</v>
      </c>
      <c r="P31" s="26">
        <f>'TR TE'!$P$31*'TR TE'!$P$48</f>
        <v>0</v>
      </c>
      <c r="Q31" s="26">
        <f>SUM($L$31:$P$31)</f>
        <v>0</v>
      </c>
      <c r="R31" s="26">
        <f>'TR TE'!$R$31*'TR TE'!$R$48</f>
        <v>147.05915364670506</v>
      </c>
      <c r="S31" s="26">
        <f>SUM($R$31:$R$31)</f>
        <v>147.05915364670506</v>
      </c>
      <c r="T31" s="26">
        <f>'TR TE'!$T$31*'TR TE'!$T$48</f>
        <v>0</v>
      </c>
      <c r="U31" s="26">
        <f>'TR TE'!$U$31*'TR TE'!$U$48</f>
        <v>0</v>
      </c>
      <c r="V31" s="26">
        <f>'TR TE'!$V$31*'TR TE'!$V$48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TE'!$Z$48</f>
        <v>0</v>
      </c>
      <c r="AA31" s="26">
        <f>SUM($Z$31:$Z$31)</f>
        <v>0</v>
      </c>
      <c r="AB31" s="26">
        <f>SUMIF($L$4:$AA$4,"SUBTOTAL",$L$31:$AA$31)</f>
        <v>147.05915364670506</v>
      </c>
    </row>
    <row r="32" spans="1:28" ht="11.25" customHeight="1" x14ac:dyDescent="0.25">
      <c r="A32" s="99"/>
      <c r="B32" s="99" t="s">
        <v>86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72</v>
      </c>
      <c r="I32" s="29">
        <f>'MERCADO TE'!$U$29</f>
        <v>0</v>
      </c>
      <c r="J32" s="15"/>
      <c r="L32" s="26">
        <f>'TR TE'!$L$32*'TR TE'!$L$48</f>
        <v>0</v>
      </c>
      <c r="M32" s="26">
        <f>'TR TE'!$M$32*'TR TE'!$M$48</f>
        <v>0</v>
      </c>
      <c r="N32" s="26">
        <f>'TR TE'!$N$32*'TR TE'!$N$48</f>
        <v>0</v>
      </c>
      <c r="O32" s="26">
        <f>'TR TE'!$O$32*'TR TE'!$O$48</f>
        <v>0</v>
      </c>
      <c r="P32" s="26">
        <f>'TR TE'!$P$32*'TR TE'!$P$48</f>
        <v>0</v>
      </c>
      <c r="Q32" s="26">
        <f>SUM($L$32:$P$32)</f>
        <v>0</v>
      </c>
      <c r="R32" s="26">
        <f>'TR TE'!$R$32*'TR TE'!$R$48</f>
        <v>147.05915364670506</v>
      </c>
      <c r="S32" s="26">
        <f>SUM($R$32:$R$32)</f>
        <v>147.05915364670506</v>
      </c>
      <c r="T32" s="26">
        <f>'TR TE'!$T$32*'TR TE'!$T$48</f>
        <v>0</v>
      </c>
      <c r="U32" s="26">
        <f>'TR TE'!$U$32*'TR TE'!$U$48</f>
        <v>0</v>
      </c>
      <c r="V32" s="26">
        <f>'TR TE'!$V$32*'TR TE'!$V$48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TE'!$Z$48</f>
        <v>0</v>
      </c>
      <c r="AA32" s="26">
        <f>SUM($Z$32:$Z$32)</f>
        <v>0</v>
      </c>
      <c r="AB32" s="26">
        <f>SUMIF($L$4:$AA$4,"SUBTOTAL",$L$32:$AA$32)</f>
        <v>147.05915364670506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72</v>
      </c>
      <c r="I33" s="29">
        <f>'MERCADO TE'!$U$30</f>
        <v>0</v>
      </c>
      <c r="J33" s="15"/>
      <c r="L33" s="26">
        <f>'TR TE'!$L$33*'TR TE'!$L$48</f>
        <v>0</v>
      </c>
      <c r="M33" s="26">
        <f>'TR TE'!$M$33*'TR TE'!$M$48</f>
        <v>0</v>
      </c>
      <c r="N33" s="26">
        <f>'TR TE'!$N$33*'TR TE'!$N$48</f>
        <v>0</v>
      </c>
      <c r="O33" s="26">
        <f>'TR TE'!$O$33*'TR TE'!$O$48</f>
        <v>0</v>
      </c>
      <c r="P33" s="26">
        <f>'TR TE'!$P$33*'TR TE'!$P$48</f>
        <v>0</v>
      </c>
      <c r="Q33" s="26">
        <f>SUM($L$33:$P$33)</f>
        <v>0</v>
      </c>
      <c r="R33" s="26">
        <f>'TR TE'!$R$33*'TR TE'!$R$48</f>
        <v>147.05915364670506</v>
      </c>
      <c r="S33" s="26">
        <f>SUM($R$33:$R$33)</f>
        <v>147.05915364670506</v>
      </c>
      <c r="T33" s="26">
        <f>'TR TE'!$T$33*'TR TE'!$T$48</f>
        <v>0</v>
      </c>
      <c r="U33" s="26">
        <f>'TR TE'!$U$33*'TR TE'!$U$48</f>
        <v>0</v>
      </c>
      <c r="V33" s="26">
        <f>'TR TE'!$V$33*'TR TE'!$V$48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TE'!$Z$48</f>
        <v>0</v>
      </c>
      <c r="AA33" s="26">
        <f>SUM($Z$33:$Z$33)</f>
        <v>0</v>
      </c>
      <c r="AB33" s="26">
        <f>SUMIF($L$4:$AA$4,"SUBTOTAL",$L$33:$AA$33)</f>
        <v>147.05915364670506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72</v>
      </c>
      <c r="I34" s="29">
        <f>'MERCADO TE'!$U$31</f>
        <v>0</v>
      </c>
      <c r="J34" s="15"/>
      <c r="L34" s="26">
        <f>'TR TE'!$L$34*'TR TE'!$L$48</f>
        <v>0</v>
      </c>
      <c r="M34" s="26">
        <f>'TR TE'!$M$34*'TR TE'!$M$48</f>
        <v>0</v>
      </c>
      <c r="N34" s="26">
        <f>'TR TE'!$N$34*'TR TE'!$N$48</f>
        <v>0</v>
      </c>
      <c r="O34" s="26">
        <f>'TR TE'!$O$34*'TR TE'!$O$48</f>
        <v>0</v>
      </c>
      <c r="P34" s="26">
        <f>'TR TE'!$P$34*'TR TE'!$P$48</f>
        <v>0</v>
      </c>
      <c r="Q34" s="26">
        <f>SUM($L$34:$P$34)</f>
        <v>0</v>
      </c>
      <c r="R34" s="26">
        <f>'TR TE'!$R$34*'TR TE'!$R$48</f>
        <v>147.05915364670506</v>
      </c>
      <c r="S34" s="26">
        <f>SUM($R$34:$R$34)</f>
        <v>147.05915364670506</v>
      </c>
      <c r="T34" s="26">
        <f>'TR TE'!$T$34*'TR TE'!$T$48</f>
        <v>0</v>
      </c>
      <c r="U34" s="26">
        <f>'TR TE'!$U$34*'TR TE'!$U$48</f>
        <v>0</v>
      </c>
      <c r="V34" s="26">
        <f>'TR TE'!$V$34*'TR TE'!$V$48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TE'!$Z$48</f>
        <v>0</v>
      </c>
      <c r="AA34" s="26">
        <f>SUM($Z$34:$Z$34)</f>
        <v>0</v>
      </c>
      <c r="AB34" s="26">
        <f>SUMIF($L$4:$AA$4,"SUBTOTAL",$L$34:$AA$34)</f>
        <v>147.05915364670506</v>
      </c>
    </row>
    <row r="35" spans="1:28" ht="11.25" customHeight="1" x14ac:dyDescent="0.25">
      <c r="A35" s="99" t="s">
        <v>33</v>
      </c>
      <c r="B35" s="99" t="s">
        <v>71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73</v>
      </c>
      <c r="H35" s="29" t="s">
        <v>72</v>
      </c>
      <c r="I35" s="29">
        <f>'MERCADO TE'!$U$32</f>
        <v>1.0639999999999998</v>
      </c>
      <c r="J35" s="15"/>
      <c r="L35" s="26">
        <f>'TR TE'!$L$35*'TR TE'!$L$48</f>
        <v>0</v>
      </c>
      <c r="M35" s="26">
        <f>'TR TE'!$M$35*'TR TE'!$M$48</f>
        <v>0</v>
      </c>
      <c r="N35" s="26">
        <f>'TR TE'!$N$35*'TR TE'!$N$48</f>
        <v>0</v>
      </c>
      <c r="O35" s="26">
        <f>'TR TE'!$O$35*'TR TE'!$O$48</f>
        <v>0</v>
      </c>
      <c r="P35" s="26">
        <f>'TR TE'!$P$35*'TR TE'!$P$48</f>
        <v>0</v>
      </c>
      <c r="Q35" s="26">
        <f>SUM($L$35:$P$35)</f>
        <v>0</v>
      </c>
      <c r="R35" s="26">
        <f>'TR TE'!$R$35*'TR TE'!$R$48</f>
        <v>147.05915364670506</v>
      </c>
      <c r="S35" s="26">
        <f>SUM($R$35:$R$35)</f>
        <v>147.05915364670506</v>
      </c>
      <c r="T35" s="26">
        <f>'TR TE'!$T$35*'TR TE'!$T$48</f>
        <v>0</v>
      </c>
      <c r="U35" s="26">
        <f>'TR TE'!$U$35*'TR TE'!$U$48</f>
        <v>0</v>
      </c>
      <c r="V35" s="26">
        <f>'TR TE'!$V$35*'TR TE'!$V$48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TE'!$Z$48</f>
        <v>0</v>
      </c>
      <c r="AA35" s="26">
        <f>SUM($Z$35:$Z$35)</f>
        <v>0</v>
      </c>
      <c r="AB35" s="26">
        <f>SUMIF($L$4:$AA$4,"SUBTOTAL",$L$35:$AA$35)</f>
        <v>147.05915364670506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72</v>
      </c>
      <c r="I36" s="29">
        <f>'MERCADO TE'!$U$33</f>
        <v>1.6680000000000006</v>
      </c>
      <c r="J36" s="15"/>
      <c r="L36" s="26">
        <f>'TR TE'!$L$36*'TR TE'!$L$48</f>
        <v>0</v>
      </c>
      <c r="M36" s="26">
        <f>'TR TE'!$M$36*'TR TE'!$M$48</f>
        <v>0</v>
      </c>
      <c r="N36" s="26">
        <f>'TR TE'!$N$36*'TR TE'!$N$48</f>
        <v>0</v>
      </c>
      <c r="O36" s="26">
        <f>'TR TE'!$O$36*'TR TE'!$O$48</f>
        <v>0</v>
      </c>
      <c r="P36" s="26">
        <f>'TR TE'!$P$36*'TR TE'!$P$48</f>
        <v>0</v>
      </c>
      <c r="Q36" s="26">
        <f>SUM($L$36:$P$36)</f>
        <v>0</v>
      </c>
      <c r="R36" s="26">
        <f>'TR TE'!$R$36*'TR TE'!$R$48</f>
        <v>147.05915364670506</v>
      </c>
      <c r="S36" s="26">
        <f>SUM($R$36:$R$36)</f>
        <v>147.05915364670506</v>
      </c>
      <c r="T36" s="26">
        <f>'TR TE'!$T$36*'TR TE'!$T$48</f>
        <v>0</v>
      </c>
      <c r="U36" s="26">
        <f>'TR TE'!$U$36*'TR TE'!$U$48</f>
        <v>0</v>
      </c>
      <c r="V36" s="26">
        <f>'TR TE'!$V$36*'TR TE'!$V$48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TE'!$Z$48</f>
        <v>0</v>
      </c>
      <c r="AA36" s="26">
        <f>SUM($Z$36:$Z$36)</f>
        <v>0</v>
      </c>
      <c r="AB36" s="26">
        <f>SUMIF($L$4:$AA$4,"SUBTOTAL",$L$36:$AA$36)</f>
        <v>147.05915364670506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74</v>
      </c>
      <c r="H37" s="29" t="s">
        <v>72</v>
      </c>
      <c r="I37" s="29">
        <f>'MERCADO TE'!$U$34</f>
        <v>73.304000000000016</v>
      </c>
      <c r="J37" s="15"/>
      <c r="L37" s="26">
        <f>'TR TE'!$L$37*'TR TE'!$L$48</f>
        <v>0</v>
      </c>
      <c r="M37" s="26">
        <f>'TR TE'!$M$37*'TR TE'!$M$48</f>
        <v>0</v>
      </c>
      <c r="N37" s="26">
        <f>'TR TE'!$N$37*'TR TE'!$N$48</f>
        <v>0</v>
      </c>
      <c r="O37" s="26">
        <f>'TR TE'!$O$37*'TR TE'!$O$48</f>
        <v>0</v>
      </c>
      <c r="P37" s="26">
        <f>'TR TE'!$P$37*'TR TE'!$P$48</f>
        <v>0</v>
      </c>
      <c r="Q37" s="26">
        <f>SUM($L$37:$P$37)</f>
        <v>0</v>
      </c>
      <c r="R37" s="26">
        <f>'TR TE'!$R$37*'TR TE'!$R$48</f>
        <v>147.05915364670506</v>
      </c>
      <c r="S37" s="26">
        <f>SUM($R$37:$R$37)</f>
        <v>147.05915364670506</v>
      </c>
      <c r="T37" s="26">
        <f>'TR TE'!$T$37*'TR TE'!$T$48</f>
        <v>0</v>
      </c>
      <c r="U37" s="26">
        <f>'TR TE'!$U$37*'TR TE'!$U$48</f>
        <v>0</v>
      </c>
      <c r="V37" s="26">
        <f>'TR TE'!$V$37*'TR TE'!$V$48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TE'!$Z$48</f>
        <v>0</v>
      </c>
      <c r="AA37" s="26">
        <f>SUM($Z$37:$Z$37)</f>
        <v>0</v>
      </c>
      <c r="AB37" s="26">
        <f>SUMIF($L$4:$AA$4,"SUBTOTAL",$L$37:$AA$37)</f>
        <v>147.05915364670506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72</v>
      </c>
      <c r="I38" s="29">
        <f>'MERCADO TE'!$U$35</f>
        <v>14591.943000000003</v>
      </c>
      <c r="J38" s="15"/>
      <c r="L38" s="26">
        <f>'TR TE'!$L$38*'TR TE'!$L$48</f>
        <v>0</v>
      </c>
      <c r="M38" s="26">
        <f>'TR TE'!$M$38*'TR TE'!$M$48</f>
        <v>0</v>
      </c>
      <c r="N38" s="26">
        <f>'TR TE'!$N$38*'TR TE'!$N$48</f>
        <v>0</v>
      </c>
      <c r="O38" s="26">
        <f>'TR TE'!$O$38*'TR TE'!$O$48</f>
        <v>0</v>
      </c>
      <c r="P38" s="26">
        <f>'TR TE'!$P$38*'TR TE'!$P$48</f>
        <v>0</v>
      </c>
      <c r="Q38" s="26">
        <f>SUM($L$38:$P$38)</f>
        <v>0</v>
      </c>
      <c r="R38" s="26">
        <f>'TR TE'!$R$38*'TR TE'!$R$48</f>
        <v>147.05915364670506</v>
      </c>
      <c r="S38" s="26">
        <f>SUM($R$38:$R$38)</f>
        <v>147.05915364670506</v>
      </c>
      <c r="T38" s="26">
        <f>'TR TE'!$T$38*'TR TE'!$T$48</f>
        <v>0</v>
      </c>
      <c r="U38" s="26">
        <f>'TR TE'!$U$38*'TR TE'!$U$48</f>
        <v>0</v>
      </c>
      <c r="V38" s="26">
        <f>'TR TE'!$V$38*'TR TE'!$V$48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TE'!$Z$48</f>
        <v>0</v>
      </c>
      <c r="AA38" s="26">
        <f>SUM($Z$38:$Z$38)</f>
        <v>0</v>
      </c>
      <c r="AB38" s="26">
        <f>SUMIF($L$4:$AA$4,"SUBTOTAL",$L$38:$AA$38)</f>
        <v>147.05915364670506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72</v>
      </c>
      <c r="I39" s="29">
        <f>'MERCADO TE'!$U$36</f>
        <v>0</v>
      </c>
      <c r="J39" s="15"/>
      <c r="L39" s="26">
        <f>'TR TE'!$L$39*'TR TE'!$L$48</f>
        <v>0</v>
      </c>
      <c r="M39" s="26">
        <f>'TR TE'!$M$39*'TR TE'!$M$48</f>
        <v>0</v>
      </c>
      <c r="N39" s="26">
        <f>'TR TE'!$N$39*'TR TE'!$N$48</f>
        <v>0</v>
      </c>
      <c r="O39" s="26">
        <f>'TR TE'!$O$39*'TR TE'!$O$48</f>
        <v>0</v>
      </c>
      <c r="P39" s="26">
        <f>'TR TE'!$P$39*'TR TE'!$P$48</f>
        <v>0</v>
      </c>
      <c r="Q39" s="26">
        <f>SUM($L$39:$P$39)</f>
        <v>0</v>
      </c>
      <c r="R39" s="26">
        <f>'TR TE'!$R$39*'TR TE'!$R$48</f>
        <v>147.05915364670506</v>
      </c>
      <c r="S39" s="26">
        <f>SUM($R$39:$R$39)</f>
        <v>147.05915364670506</v>
      </c>
      <c r="T39" s="26">
        <f>'TR TE'!$T$39*'TR TE'!$T$48</f>
        <v>0</v>
      </c>
      <c r="U39" s="26">
        <f>'TR TE'!$U$39*'TR TE'!$U$48</f>
        <v>0</v>
      </c>
      <c r="V39" s="26">
        <f>'TR TE'!$V$39*'TR TE'!$V$48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TE'!$Z$48</f>
        <v>0</v>
      </c>
      <c r="AA39" s="26">
        <f>SUM($Z$39:$Z$39)</f>
        <v>0</v>
      </c>
      <c r="AB39" s="26">
        <f>SUMIF($L$4:$AA$4,"SUBTOTAL",$L$39:$AA$39)</f>
        <v>147.05915364670506</v>
      </c>
    </row>
    <row r="40" spans="1:28" ht="11.25" customHeight="1" x14ac:dyDescent="0.25">
      <c r="A40" s="99" t="s">
        <v>46</v>
      </c>
      <c r="B40" s="99" t="s">
        <v>85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78</v>
      </c>
      <c r="H40" s="29" t="s">
        <v>72</v>
      </c>
      <c r="I40" s="29">
        <f>'MERCADO TE'!$U$37</f>
        <v>5137.0619999999999</v>
      </c>
      <c r="J40" s="15"/>
      <c r="L40" s="26">
        <f>'TR TE'!$L$40*'TR TE'!$L$48</f>
        <v>0</v>
      </c>
      <c r="M40" s="26">
        <f>'TR TE'!$M$40*'TR TE'!$M$48</f>
        <v>0</v>
      </c>
      <c r="N40" s="26">
        <f>'TR TE'!$N$40*'TR TE'!$N$48</f>
        <v>0</v>
      </c>
      <c r="O40" s="26">
        <f>'TR TE'!$O$40*'TR TE'!$O$48</f>
        <v>0</v>
      </c>
      <c r="P40" s="26">
        <f>'TR TE'!$P$40*'TR TE'!$P$48</f>
        <v>0</v>
      </c>
      <c r="Q40" s="26">
        <f>SUM($L$40:$P$40)</f>
        <v>0</v>
      </c>
      <c r="R40" s="26">
        <f>'TR TE'!$R$40*'TR TE'!$R$48</f>
        <v>80.882534505687786</v>
      </c>
      <c r="S40" s="26">
        <f>SUM($R$40:$R$40)</f>
        <v>80.882534505687786</v>
      </c>
      <c r="T40" s="26">
        <f>'TR TE'!$T$40*'TR TE'!$T$48</f>
        <v>0</v>
      </c>
      <c r="U40" s="26">
        <f>'TR TE'!$U$40*'TR TE'!$U$48</f>
        <v>0</v>
      </c>
      <c r="V40" s="26">
        <f>'TR TE'!$V$40*'TR TE'!$V$48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TE'!$Z$48</f>
        <v>0</v>
      </c>
      <c r="AA40" s="26">
        <f>SUM($Z$40:$Z$40)</f>
        <v>0</v>
      </c>
      <c r="AB40" s="26">
        <f>SUMIF($L$4:$AA$4,"SUBTOTAL",$L$40:$AA$40)</f>
        <v>80.882534505687786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72</v>
      </c>
      <c r="I41" s="29">
        <f>'MERCADO TE'!$U$38</f>
        <v>0</v>
      </c>
      <c r="J41" s="15"/>
      <c r="L41" s="26">
        <f>'TR TE'!$L$41*'TR TE'!$L$48</f>
        <v>0</v>
      </c>
      <c r="M41" s="26">
        <f>'TR TE'!$M$41*'TR TE'!$M$48</f>
        <v>0</v>
      </c>
      <c r="N41" s="26">
        <f>'TR TE'!$N$41*'TR TE'!$N$48</f>
        <v>0</v>
      </c>
      <c r="O41" s="26">
        <f>'TR TE'!$O$41*'TR TE'!$O$48</f>
        <v>0</v>
      </c>
      <c r="P41" s="26">
        <f>'TR TE'!$P$41*'TR TE'!$P$48</f>
        <v>0</v>
      </c>
      <c r="Q41" s="26">
        <f>SUM($L$41:$P$41)</f>
        <v>0</v>
      </c>
      <c r="R41" s="26">
        <f>'TR TE'!$R$41*'TR TE'!$R$48</f>
        <v>88.235492188023031</v>
      </c>
      <c r="S41" s="26">
        <f>SUM($R$41:$R$41)</f>
        <v>88.235492188023031</v>
      </c>
      <c r="T41" s="26">
        <f>'TR TE'!$T$41*'TR TE'!$T$48</f>
        <v>0</v>
      </c>
      <c r="U41" s="26">
        <f>'TR TE'!$U$41*'TR TE'!$U$48</f>
        <v>0</v>
      </c>
      <c r="V41" s="26">
        <f>'TR TE'!$V$41*'TR TE'!$V$48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TE'!$Z$48</f>
        <v>0</v>
      </c>
      <c r="AA41" s="26">
        <f>SUM($Z$41:$Z$41)</f>
        <v>0</v>
      </c>
      <c r="AB41" s="26">
        <f>SUMIF($L$4:$AA$4,"SUBTOTAL",$L$41:$AA$41)</f>
        <v>88.235492188023031</v>
      </c>
    </row>
    <row r="43" spans="1:28" ht="11.25" customHeight="1" x14ac:dyDescent="0.25">
      <c r="K43" s="31" t="s">
        <v>569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20968479.437533602</v>
      </c>
      <c r="S43" s="26">
        <f t="shared" si="0"/>
        <v>20968479.437533602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20968479.437533602</v>
      </c>
    </row>
    <row r="44" spans="1:28" ht="11.25" customHeight="1" x14ac:dyDescent="0.25">
      <c r="K44" s="31" t="s">
        <v>488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20968479.437533595</v>
      </c>
      <c r="S44" s="26">
        <f>CUSTOS!$D$37</f>
        <v>20968479.437533595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20968479.437533595</v>
      </c>
    </row>
    <row r="45" spans="1:28" ht="11.25" customHeight="1" x14ac:dyDescent="0.25">
      <c r="K45" s="31" t="s">
        <v>489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-1488091.4083301171</v>
      </c>
      <c r="S45" s="26">
        <f>CUSTOS!$E$37</f>
        <v>-1488091.4083301171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-1488091.4083301171</v>
      </c>
    </row>
    <row r="46" spans="1:28" ht="11.25" customHeight="1" x14ac:dyDescent="0.25">
      <c r="K46" s="31" t="s">
        <v>490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570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-10.434167889574397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557</v>
      </c>
      <c r="L48" s="26">
        <f>IF(L44&lt;&gt;0,L45/L44,0)</f>
        <v>0</v>
      </c>
      <c r="M48" s="26">
        <f>IF(M44&lt;&gt;0,M45/M44,0)</f>
        <v>0</v>
      </c>
      <c r="N48" s="26">
        <f>IF(N44&lt;&gt;0,N45/N44,0)</f>
        <v>0</v>
      </c>
      <c r="O48" s="26">
        <f>IF(O44&lt;&gt;0,O45/O44,0)</f>
        <v>0</v>
      </c>
      <c r="P48" s="26">
        <f>IF(P44&lt;&gt;0,P45/P44,0)</f>
        <v>0</v>
      </c>
      <c r="Q48" s="26"/>
      <c r="R48" s="26">
        <f>IF(R44&lt;&gt;0,R45/R44,0)</f>
        <v>-7.096801714989559E-2</v>
      </c>
      <c r="S48" s="26"/>
      <c r="T48" s="26">
        <f>IF(T44&lt;&gt;0,T45/T44,0)</f>
        <v>0</v>
      </c>
      <c r="U48" s="26">
        <f>IF(U44&lt;&gt;0,U45/U44,0)</f>
        <v>0</v>
      </c>
      <c r="V48" s="26">
        <f>IF(V44&lt;&gt;0,V45/V44,0)</f>
        <v>0</v>
      </c>
      <c r="W48" s="26"/>
      <c r="X48" s="26">
        <f>IF(($AB44-0)&lt;&gt;0,X45/($AB44-0),0)</f>
        <v>0</v>
      </c>
      <c r="Y48" s="26"/>
      <c r="Z48" s="26">
        <f>IF(Z44&lt;&gt;0,Z45/Z44,0)</f>
        <v>0</v>
      </c>
      <c r="AA48" s="26"/>
      <c r="AB48" s="26"/>
    </row>
    <row r="49" spans="11:28" ht="11.25" customHeight="1" x14ac:dyDescent="0.25">
      <c r="K49" s="31" t="s">
        <v>572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42" priority="33" operator="notEqual">
      <formula>$L$44</formula>
    </cfRule>
    <cfRule type="cellIs" dxfId="741" priority="34" operator="equal">
      <formula>$L$44</formula>
    </cfRule>
  </conditionalFormatting>
  <conditionalFormatting sqref="M43">
    <cfRule type="cellIs" dxfId="740" priority="31" operator="notEqual">
      <formula>$M$44</formula>
    </cfRule>
    <cfRule type="cellIs" dxfId="739" priority="32" operator="equal">
      <formula>$M$44</formula>
    </cfRule>
  </conditionalFormatting>
  <conditionalFormatting sqref="N43">
    <cfRule type="cellIs" dxfId="738" priority="29" operator="notEqual">
      <formula>$N$44</formula>
    </cfRule>
    <cfRule type="cellIs" dxfId="737" priority="30" operator="equal">
      <formula>$N$44</formula>
    </cfRule>
  </conditionalFormatting>
  <conditionalFormatting sqref="O43">
    <cfRule type="cellIs" dxfId="736" priority="27" operator="notEqual">
      <formula>$O$44</formula>
    </cfRule>
    <cfRule type="cellIs" dxfId="735" priority="28" operator="equal">
      <formula>$O$44</formula>
    </cfRule>
  </conditionalFormatting>
  <conditionalFormatting sqref="P43">
    <cfRule type="cellIs" dxfId="734" priority="25" operator="notEqual">
      <formula>$P$44</formula>
    </cfRule>
    <cfRule type="cellIs" dxfId="733" priority="26" operator="equal">
      <formula>$P$44</formula>
    </cfRule>
  </conditionalFormatting>
  <conditionalFormatting sqref="Q43">
    <cfRule type="cellIs" dxfId="732" priority="23" operator="notEqual">
      <formula>$Q$44</formula>
    </cfRule>
    <cfRule type="cellIs" dxfId="731" priority="24" operator="equal">
      <formula>$Q$44</formula>
    </cfRule>
  </conditionalFormatting>
  <conditionalFormatting sqref="R43">
    <cfRule type="cellIs" dxfId="730" priority="21" operator="notEqual">
      <formula>$R$44</formula>
    </cfRule>
    <cfRule type="cellIs" dxfId="729" priority="22" operator="equal">
      <formula>$R$44</formula>
    </cfRule>
  </conditionalFormatting>
  <conditionalFormatting sqref="S43">
    <cfRule type="cellIs" dxfId="728" priority="19" operator="notEqual">
      <formula>$S$44</formula>
    </cfRule>
    <cfRule type="cellIs" dxfId="727" priority="20" operator="equal">
      <formula>$S$44</formula>
    </cfRule>
  </conditionalFormatting>
  <conditionalFormatting sqref="T43">
    <cfRule type="cellIs" dxfId="726" priority="17" operator="notEqual">
      <formula>$T$44</formula>
    </cfRule>
    <cfRule type="cellIs" dxfId="725" priority="18" operator="equal">
      <formula>$T$44</formula>
    </cfRule>
  </conditionalFormatting>
  <conditionalFormatting sqref="U43">
    <cfRule type="cellIs" dxfId="724" priority="15" operator="notEqual">
      <formula>$U$44</formula>
    </cfRule>
    <cfRule type="cellIs" dxfId="723" priority="16" operator="equal">
      <formula>$U$44</formula>
    </cfRule>
  </conditionalFormatting>
  <conditionalFormatting sqref="V43">
    <cfRule type="cellIs" dxfId="722" priority="13" operator="notEqual">
      <formula>$V$44</formula>
    </cfRule>
    <cfRule type="cellIs" dxfId="721" priority="14" operator="equal">
      <formula>$V$44</formula>
    </cfRule>
  </conditionalFormatting>
  <conditionalFormatting sqref="W43">
    <cfRule type="cellIs" dxfId="720" priority="11" operator="notEqual">
      <formula>$W$44</formula>
    </cfRule>
    <cfRule type="cellIs" dxfId="719" priority="12" operator="equal">
      <formula>$W$44</formula>
    </cfRule>
  </conditionalFormatting>
  <conditionalFormatting sqref="X43">
    <cfRule type="cellIs" dxfId="718" priority="9" operator="notEqual">
      <formula>$X$44</formula>
    </cfRule>
    <cfRule type="cellIs" dxfId="717" priority="10" operator="equal">
      <formula>$X$44</formula>
    </cfRule>
  </conditionalFormatting>
  <conditionalFormatting sqref="Y43">
    <cfRule type="cellIs" dxfId="716" priority="7" operator="notEqual">
      <formula>$Y$44</formula>
    </cfRule>
    <cfRule type="cellIs" dxfId="715" priority="8" operator="equal">
      <formula>$Y$44</formula>
    </cfRule>
  </conditionalFormatting>
  <conditionalFormatting sqref="Z43">
    <cfRule type="cellIs" dxfId="714" priority="5" operator="notEqual">
      <formula>$Z$44</formula>
    </cfRule>
    <cfRule type="cellIs" dxfId="713" priority="6" operator="equal">
      <formula>$Z$44</formula>
    </cfRule>
  </conditionalFormatting>
  <conditionalFormatting sqref="AA43">
    <cfRule type="cellIs" dxfId="712" priority="3" operator="notEqual">
      <formula>$AA$44</formula>
    </cfRule>
    <cfRule type="cellIs" dxfId="711" priority="4" operator="equal">
      <formula>$AA$44</formula>
    </cfRule>
  </conditionalFormatting>
  <conditionalFormatting sqref="AB43">
    <cfRule type="cellIs" dxfId="710" priority="1" operator="notEqual">
      <formula>$AB$44</formula>
    </cfRule>
    <cfRule type="cellIs" dxfId="709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B07F-E060-4123-B2A0-2662C3A1E72F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62</v>
      </c>
      <c r="B1" s="100" t="s">
        <v>63</v>
      </c>
      <c r="C1" s="100" t="s">
        <v>64</v>
      </c>
      <c r="D1" s="100" t="s">
        <v>65</v>
      </c>
      <c r="E1" s="100" t="s">
        <v>66</v>
      </c>
      <c r="F1" s="100" t="s">
        <v>15</v>
      </c>
      <c r="G1" s="100" t="s">
        <v>68</v>
      </c>
      <c r="H1" s="100" t="s">
        <v>69</v>
      </c>
      <c r="I1" s="100" t="s">
        <v>547</v>
      </c>
      <c r="J1" s="85"/>
      <c r="L1" s="101" t="s">
        <v>574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474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447</v>
      </c>
      <c r="M3" s="101"/>
      <c r="N3" s="101"/>
      <c r="O3" s="101"/>
      <c r="P3" s="101"/>
      <c r="Q3" s="101"/>
      <c r="R3" s="101" t="s">
        <v>478</v>
      </c>
      <c r="S3" s="101"/>
      <c r="T3" s="101" t="s">
        <v>456</v>
      </c>
      <c r="U3" s="101"/>
      <c r="V3" s="101"/>
      <c r="W3" s="101"/>
      <c r="X3" s="101" t="s">
        <v>466</v>
      </c>
      <c r="Y3" s="101"/>
      <c r="Z3" s="101" t="s">
        <v>469</v>
      </c>
      <c r="AA3" s="101"/>
      <c r="AB3" s="101" t="s">
        <v>455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449</v>
      </c>
      <c r="M4" s="30" t="s">
        <v>475</v>
      </c>
      <c r="N4" s="30" t="s">
        <v>476</v>
      </c>
      <c r="O4" s="30" t="s">
        <v>535</v>
      </c>
      <c r="P4" s="30" t="s">
        <v>477</v>
      </c>
      <c r="Q4" s="30" t="s">
        <v>455</v>
      </c>
      <c r="R4" s="30" t="s">
        <v>479</v>
      </c>
      <c r="S4" s="30" t="s">
        <v>455</v>
      </c>
      <c r="T4" s="30" t="s">
        <v>480</v>
      </c>
      <c r="U4" s="30" t="s">
        <v>481</v>
      </c>
      <c r="V4" s="30" t="s">
        <v>482</v>
      </c>
      <c r="W4" s="30" t="s">
        <v>455</v>
      </c>
      <c r="X4" s="30" t="s">
        <v>467</v>
      </c>
      <c r="Y4" s="30" t="s">
        <v>455</v>
      </c>
      <c r="Z4" s="30" t="s">
        <v>483</v>
      </c>
      <c r="AA4" s="30" t="s">
        <v>455</v>
      </c>
      <c r="AB4" s="102"/>
    </row>
    <row r="5" spans="1:28" ht="11.25" customHeight="1" x14ac:dyDescent="0.25">
      <c r="A5" s="99" t="s">
        <v>35</v>
      </c>
      <c r="B5" s="99" t="s">
        <v>71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73</v>
      </c>
      <c r="H5" s="29" t="s">
        <v>72</v>
      </c>
      <c r="I5" s="29">
        <f>'MERCADO TE'!$U$2</f>
        <v>1509.6429999999996</v>
      </c>
      <c r="J5" s="15"/>
      <c r="L5" s="26">
        <f>'TE BE'!$L$5*'TE BE'!$L$48</f>
        <v>0</v>
      </c>
      <c r="M5" s="26">
        <f>'TE BE'!$M$5*'TE BE'!$M$48</f>
        <v>0</v>
      </c>
      <c r="N5" s="26">
        <f>'TE BE'!$N$5*'TE BE'!$N$48</f>
        <v>0</v>
      </c>
      <c r="O5" s="26">
        <f>'TE BE'!$O$5*'TE BE'!$O$48</f>
        <v>0</v>
      </c>
      <c r="P5" s="26">
        <f>'TE BE'!$P$5*'TE BE'!$P$48</f>
        <v>0</v>
      </c>
      <c r="Q5" s="26">
        <f>SUM($L$5:$P$5)</f>
        <v>0</v>
      </c>
      <c r="R5" s="26">
        <f>'TE BE'!$R$5*'TE BE'!$R$48</f>
        <v>-10.436496538048495</v>
      </c>
      <c r="S5" s="26">
        <f>SUM($R$5:$R$5)</f>
        <v>-10.436496538048495</v>
      </c>
      <c r="T5" s="26">
        <f>'TE BE'!$T$5*'TE BE'!$T$48</f>
        <v>0</v>
      </c>
      <c r="U5" s="26">
        <f>'TE BE'!$U$5*'TE BE'!$U$48</f>
        <v>0</v>
      </c>
      <c r="V5" s="26">
        <f>'TE BE'!$V$5*'TE BE'!$V$48</f>
        <v>0</v>
      </c>
      <c r="W5" s="26">
        <f>SUM($T$5:$V$5)</f>
        <v>0</v>
      </c>
      <c r="X5" s="26">
        <f>'TE BE'!$AB$5*'TE BE'!$X$48</f>
        <v>0</v>
      </c>
      <c r="Y5" s="26">
        <f>SUM($X$5:$X$5)</f>
        <v>0</v>
      </c>
      <c r="Z5" s="26">
        <f>'TE BE'!$Z$5*'TE BE'!$Z$48</f>
        <v>0</v>
      </c>
      <c r="AA5" s="26">
        <f>SUM($Z$5:$Z$5)</f>
        <v>0</v>
      </c>
      <c r="AB5" s="26">
        <f>SUMIF($L$4:$AA$4,"SUBTOTAL",$L$5:$AA$5)</f>
        <v>-10.436496538048495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74</v>
      </c>
      <c r="H6" s="29" t="s">
        <v>72</v>
      </c>
      <c r="I6" s="29">
        <f>'MERCADO TE'!$U$3</f>
        <v>88874.944999999992</v>
      </c>
      <c r="J6" s="15"/>
      <c r="L6" s="26">
        <f>'TE BE'!$L$6*'TE BE'!$L$48</f>
        <v>0</v>
      </c>
      <c r="M6" s="26">
        <f>'TE BE'!$M$6*'TE BE'!$M$48</f>
        <v>0</v>
      </c>
      <c r="N6" s="26">
        <f>'TE BE'!$N$6*'TE BE'!$N$48</f>
        <v>0</v>
      </c>
      <c r="O6" s="26">
        <f>'TE BE'!$O$6*'TE BE'!$O$48</f>
        <v>0</v>
      </c>
      <c r="P6" s="26">
        <f>'TE BE'!$P$6*'TE BE'!$P$48</f>
        <v>0</v>
      </c>
      <c r="Q6" s="26">
        <f>SUM($L$6:$P$6)</f>
        <v>0</v>
      </c>
      <c r="R6" s="26">
        <f>'TE BE'!$R$6*'TE BE'!$R$48</f>
        <v>-10.436496538048495</v>
      </c>
      <c r="S6" s="26">
        <f>SUM($R$6:$R$6)</f>
        <v>-10.436496538048495</v>
      </c>
      <c r="T6" s="26">
        <f>'TE BE'!$T$6*'TE BE'!$T$48</f>
        <v>0</v>
      </c>
      <c r="U6" s="26">
        <f>'TE BE'!$U$6*'TE BE'!$U$48</f>
        <v>0</v>
      </c>
      <c r="V6" s="26">
        <f>'TE BE'!$V$6*'TE BE'!$V$48</f>
        <v>0</v>
      </c>
      <c r="W6" s="26">
        <f>SUM($T$6:$V$6)</f>
        <v>0</v>
      </c>
      <c r="X6" s="26">
        <f>'TE BE'!$AB$6*'TE BE'!$X$48</f>
        <v>0</v>
      </c>
      <c r="Y6" s="26">
        <f>SUM($X$6:$X$6)</f>
        <v>0</v>
      </c>
      <c r="Z6" s="26">
        <f>'TE BE'!$Z$6*'TE BE'!$Z$48</f>
        <v>0</v>
      </c>
      <c r="AA6" s="26">
        <f>SUM($Z$6:$Z$6)</f>
        <v>0</v>
      </c>
      <c r="AB6" s="26">
        <f>SUMIF($L$4:$AA$4,"SUBTOTAL",$L$6:$AA$6)</f>
        <v>-10.436496538048495</v>
      </c>
    </row>
    <row r="7" spans="1:28" ht="11.25" customHeight="1" x14ac:dyDescent="0.25">
      <c r="A7" s="99" t="s">
        <v>22</v>
      </c>
      <c r="B7" s="99" t="s">
        <v>71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'TE BE'!$L$7*'TE BE'!$L$48</f>
        <v>0</v>
      </c>
      <c r="M7" s="26">
        <f>'TE BE'!$M$7*'TE BE'!$M$48</f>
        <v>0</v>
      </c>
      <c r="N7" s="26">
        <f>'TE BE'!$N$7*'TE BE'!$N$48</f>
        <v>0</v>
      </c>
      <c r="O7" s="26">
        <f>'TE BE'!$O$7*'TE BE'!$O$48</f>
        <v>0</v>
      </c>
      <c r="P7" s="26">
        <f>'TE BE'!$P$7*'TE BE'!$P$48</f>
        <v>0</v>
      </c>
      <c r="Q7" s="26">
        <f>SUM($L$7:$P$7)</f>
        <v>0</v>
      </c>
      <c r="R7" s="26">
        <f>'TE BE'!$R$7*'TE BE'!$R$48</f>
        <v>-10.436496538048495</v>
      </c>
      <c r="S7" s="26">
        <f>SUM($R$7:$R$7)</f>
        <v>-10.436496538048495</v>
      </c>
      <c r="T7" s="26">
        <f>'TE BE'!$T$7*'TE BE'!$T$48</f>
        <v>0</v>
      </c>
      <c r="U7" s="26">
        <f>'TE BE'!$U$7*'TE BE'!$U$48</f>
        <v>0</v>
      </c>
      <c r="V7" s="26">
        <f>'TE BE'!$V$7*'TE BE'!$V$48</f>
        <v>0</v>
      </c>
      <c r="W7" s="26">
        <f>SUM($T$7:$V$7)</f>
        <v>0</v>
      </c>
      <c r="X7" s="26">
        <f>'TE BE'!$AB$7*'TE BE'!$X$48</f>
        <v>0</v>
      </c>
      <c r="Y7" s="26">
        <f>SUM($X$7:$X$7)</f>
        <v>0</v>
      </c>
      <c r="Z7" s="26">
        <f>'TE BE'!$Z$7*'TE BE'!$Z$48</f>
        <v>0</v>
      </c>
      <c r="AA7" s="26">
        <f>SUM($Z$7:$Z$7)</f>
        <v>0</v>
      </c>
      <c r="AB7" s="26">
        <f>SUMIF($L$4:$AA$4,"SUBTOTAL",$L$7:$AA$7)</f>
        <v>-10.436496538048495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72</v>
      </c>
      <c r="I8" s="29">
        <f>'MERCADO TE'!$U$5</f>
        <v>0</v>
      </c>
      <c r="J8" s="15"/>
      <c r="L8" s="26">
        <f>'TE BE'!$L$8*'TE BE'!$L$48</f>
        <v>0</v>
      </c>
      <c r="M8" s="26">
        <f>'TE BE'!$M$8*'TE BE'!$M$48</f>
        <v>0</v>
      </c>
      <c r="N8" s="26">
        <f>'TE BE'!$N$8*'TE BE'!$N$48</f>
        <v>0</v>
      </c>
      <c r="O8" s="26">
        <f>'TE BE'!$O$8*'TE BE'!$O$48</f>
        <v>0</v>
      </c>
      <c r="P8" s="26">
        <f>'TE BE'!$P$8*'TE BE'!$P$48</f>
        <v>0</v>
      </c>
      <c r="Q8" s="26">
        <f>SUM($L$8:$P$8)</f>
        <v>0</v>
      </c>
      <c r="R8" s="26">
        <f>'TE BE'!$R$8*'TE BE'!$R$48</f>
        <v>-10.436496538048495</v>
      </c>
      <c r="S8" s="26">
        <f>SUM($R$8:$R$8)</f>
        <v>-10.436496538048495</v>
      </c>
      <c r="T8" s="26">
        <f>'TE BE'!$T$8*'TE BE'!$T$48</f>
        <v>0</v>
      </c>
      <c r="U8" s="26">
        <f>'TE BE'!$U$8*'TE BE'!$U$48</f>
        <v>0</v>
      </c>
      <c r="V8" s="26">
        <f>'TE BE'!$V$8*'TE BE'!$V$48</f>
        <v>0</v>
      </c>
      <c r="W8" s="26">
        <f>SUM($T$8:$V$8)</f>
        <v>0</v>
      </c>
      <c r="X8" s="26">
        <f>'TE BE'!$AB$8*'TE BE'!$X$48</f>
        <v>0</v>
      </c>
      <c r="Y8" s="26">
        <f>SUM($X$8:$X$8)</f>
        <v>0</v>
      </c>
      <c r="Z8" s="26">
        <f>'TE BE'!$Z$8*'TE BE'!$Z$48</f>
        <v>0</v>
      </c>
      <c r="AA8" s="26">
        <f>SUM($Z$8:$Z$8)</f>
        <v>0</v>
      </c>
      <c r="AB8" s="26">
        <f>SUMIF($L$4:$AA$4,"SUBTOTAL",$L$8:$AA$8)</f>
        <v>-10.436496538048495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74</v>
      </c>
      <c r="H9" s="29" t="s">
        <v>72</v>
      </c>
      <c r="I9" s="29">
        <f>'MERCADO TE'!$U$6</f>
        <v>0</v>
      </c>
      <c r="J9" s="15"/>
      <c r="L9" s="26">
        <f>'TE BE'!$L$9*'TE BE'!$L$48</f>
        <v>0</v>
      </c>
      <c r="M9" s="26">
        <f>'TE BE'!$M$9*'TE BE'!$M$48</f>
        <v>0</v>
      </c>
      <c r="N9" s="26">
        <f>'TE BE'!$N$9*'TE BE'!$N$48</f>
        <v>0</v>
      </c>
      <c r="O9" s="26">
        <f>'TE BE'!$O$9*'TE BE'!$O$48</f>
        <v>0</v>
      </c>
      <c r="P9" s="26">
        <f>'TE BE'!$P$9*'TE BE'!$P$48</f>
        <v>0</v>
      </c>
      <c r="Q9" s="26">
        <f>SUM($L$9:$P$9)</f>
        <v>0</v>
      </c>
      <c r="R9" s="26">
        <f>'TE BE'!$R$9*'TE BE'!$R$48</f>
        <v>-10.436496538048495</v>
      </c>
      <c r="S9" s="26">
        <f>SUM($R$9:$R$9)</f>
        <v>-10.436496538048495</v>
      </c>
      <c r="T9" s="26">
        <f>'TE BE'!$T$9*'TE BE'!$T$48</f>
        <v>0</v>
      </c>
      <c r="U9" s="26">
        <f>'TE BE'!$U$9*'TE BE'!$U$48</f>
        <v>0</v>
      </c>
      <c r="V9" s="26">
        <f>'TE BE'!$V$9*'TE BE'!$V$48</f>
        <v>0</v>
      </c>
      <c r="W9" s="26">
        <f>SUM($T$9:$V$9)</f>
        <v>0</v>
      </c>
      <c r="X9" s="26">
        <f>'TE BE'!$AB$9*'TE BE'!$X$48</f>
        <v>0</v>
      </c>
      <c r="Y9" s="26">
        <f>SUM($X$9:$X$9)</f>
        <v>0</v>
      </c>
      <c r="Z9" s="26">
        <f>'TE BE'!$Z$9*'TE BE'!$Z$48</f>
        <v>0</v>
      </c>
      <c r="AA9" s="26">
        <f>SUM($Z$9:$Z$9)</f>
        <v>0</v>
      </c>
      <c r="AB9" s="26">
        <f>SUMIF($L$4:$AA$4,"SUBTOTAL",$L$9:$AA$9)</f>
        <v>-10.436496538048495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72</v>
      </c>
      <c r="I10" s="29">
        <f>'MERCADO TE'!$U$7</f>
        <v>30172.235000000001</v>
      </c>
      <c r="J10" s="15"/>
      <c r="L10" s="26">
        <f>'TE BE'!$L$10*'TE BE'!$L$48</f>
        <v>0</v>
      </c>
      <c r="M10" s="26">
        <f>'TE BE'!$M$10*'TE BE'!$M$48</f>
        <v>0</v>
      </c>
      <c r="N10" s="26">
        <f>'TE BE'!$N$10*'TE BE'!$N$48</f>
        <v>0</v>
      </c>
      <c r="O10" s="26">
        <f>'TE BE'!$O$10*'TE BE'!$O$48</f>
        <v>0</v>
      </c>
      <c r="P10" s="26">
        <f>'TE BE'!$P$10*'TE BE'!$P$48</f>
        <v>0</v>
      </c>
      <c r="Q10" s="26">
        <f>SUM($L$10:$P$10)</f>
        <v>0</v>
      </c>
      <c r="R10" s="26">
        <f>'TE BE'!$R$10*'TE BE'!$R$48</f>
        <v>-10.436496538048495</v>
      </c>
      <c r="S10" s="26">
        <f>SUM($R$10:$R$10)</f>
        <v>-10.436496538048495</v>
      </c>
      <c r="T10" s="26">
        <f>'TE BE'!$T$10*'TE BE'!$T$48</f>
        <v>0</v>
      </c>
      <c r="U10" s="26">
        <f>'TE BE'!$U$10*'TE BE'!$U$48</f>
        <v>0</v>
      </c>
      <c r="V10" s="26">
        <f>'TE BE'!$V$10*'TE BE'!$V$48</f>
        <v>0</v>
      </c>
      <c r="W10" s="26">
        <f>SUM($T$10:$V$10)</f>
        <v>0</v>
      </c>
      <c r="X10" s="26">
        <f>'TE BE'!$AB$10*'TE BE'!$X$48</f>
        <v>0</v>
      </c>
      <c r="Y10" s="26">
        <f>SUM($X$10:$X$10)</f>
        <v>0</v>
      </c>
      <c r="Z10" s="26">
        <f>'TE BE'!$Z$10*'TE BE'!$Z$48</f>
        <v>0</v>
      </c>
      <c r="AA10" s="26">
        <f>SUM($Z$10:$Z$10)</f>
        <v>0</v>
      </c>
      <c r="AB10" s="26">
        <f>SUMIF($L$4:$AA$4,"SUBTOTAL",$L$10:$AA$10)</f>
        <v>-10.436496538048495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72</v>
      </c>
      <c r="I11" s="29">
        <f>'MERCADO TE'!$U$8</f>
        <v>191.77800000000005</v>
      </c>
      <c r="J11" s="15"/>
      <c r="L11" s="26">
        <f>'TE BE'!$L$11*'TE BE'!$L$48</f>
        <v>0</v>
      </c>
      <c r="M11" s="26">
        <f>'TE BE'!$M$11*'TE BE'!$M$48</f>
        <v>0</v>
      </c>
      <c r="N11" s="26">
        <f>'TE BE'!$N$11*'TE BE'!$N$48</f>
        <v>0</v>
      </c>
      <c r="O11" s="26">
        <f>'TE BE'!$O$11*'TE BE'!$O$48</f>
        <v>0</v>
      </c>
      <c r="P11" s="26">
        <f>'TE BE'!$P$11*'TE BE'!$P$48</f>
        <v>0</v>
      </c>
      <c r="Q11" s="26">
        <f>SUM($L$11:$P$11)</f>
        <v>0</v>
      </c>
      <c r="R11" s="26">
        <f>'TE BE'!$R$11*'TE BE'!$R$48</f>
        <v>-10.436496538048495</v>
      </c>
      <c r="S11" s="26">
        <f>SUM($R$11:$R$11)</f>
        <v>-10.436496538048495</v>
      </c>
      <c r="T11" s="26">
        <f>'TE BE'!$T$11*'TE BE'!$T$48</f>
        <v>0</v>
      </c>
      <c r="U11" s="26">
        <f>'TE BE'!$U$11*'TE BE'!$U$48</f>
        <v>0</v>
      </c>
      <c r="V11" s="26">
        <f>'TE BE'!$V$11*'TE BE'!$V$48</f>
        <v>0</v>
      </c>
      <c r="W11" s="26">
        <f>SUM($T$11:$V$11)</f>
        <v>0</v>
      </c>
      <c r="X11" s="26">
        <f>'TE BE'!$AB$11*'TE BE'!$X$48</f>
        <v>0</v>
      </c>
      <c r="Y11" s="26">
        <f>SUM($X$11:$X$11)</f>
        <v>0</v>
      </c>
      <c r="Z11" s="26">
        <f>'TE BE'!$Z$11*'TE BE'!$Z$48</f>
        <v>0</v>
      </c>
      <c r="AA11" s="26">
        <f>SUM($Z$11:$Z$11)</f>
        <v>0</v>
      </c>
      <c r="AB11" s="26">
        <f>SUMIF($L$4:$AA$4,"SUBTOTAL",$L$11:$AA$11)</f>
        <v>-10.436496538048495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72</v>
      </c>
      <c r="I12" s="29">
        <f>'MERCADO TE'!$U$9</f>
        <v>421.79500000000002</v>
      </c>
      <c r="J12" s="15"/>
      <c r="L12" s="26">
        <f>'TE BE'!$L$12*'TE BE'!$L$48</f>
        <v>0</v>
      </c>
      <c r="M12" s="26">
        <f>'TE BE'!$M$12*'TE BE'!$M$48</f>
        <v>0</v>
      </c>
      <c r="N12" s="26">
        <f>'TE BE'!$N$12*'TE BE'!$N$48</f>
        <v>0</v>
      </c>
      <c r="O12" s="26">
        <f>'TE BE'!$O$12*'TE BE'!$O$48</f>
        <v>0</v>
      </c>
      <c r="P12" s="26">
        <f>'TE BE'!$P$12*'TE BE'!$P$48</f>
        <v>0</v>
      </c>
      <c r="Q12" s="26">
        <f>SUM($L$12:$P$12)</f>
        <v>0</v>
      </c>
      <c r="R12" s="26">
        <f>'TE BE'!$R$12*'TE BE'!$R$48</f>
        <v>-10.436496538048495</v>
      </c>
      <c r="S12" s="26">
        <f>SUM($R$12:$R$12)</f>
        <v>-10.436496538048495</v>
      </c>
      <c r="T12" s="26">
        <f>'TE BE'!$T$12*'TE BE'!$T$48</f>
        <v>0</v>
      </c>
      <c r="U12" s="26">
        <f>'TE BE'!$U$12*'TE BE'!$U$48</f>
        <v>0</v>
      </c>
      <c r="V12" s="26">
        <f>'TE BE'!$V$12*'TE BE'!$V$48</f>
        <v>0</v>
      </c>
      <c r="W12" s="26">
        <f>SUM($T$12:$V$12)</f>
        <v>0</v>
      </c>
      <c r="X12" s="26">
        <f>'TE BE'!$AB$12*'TE BE'!$X$48</f>
        <v>0</v>
      </c>
      <c r="Y12" s="26">
        <f>SUM($X$12:$X$12)</f>
        <v>0</v>
      </c>
      <c r="Z12" s="26">
        <f>'TE BE'!$Z$12*'TE BE'!$Z$48</f>
        <v>0</v>
      </c>
      <c r="AA12" s="26">
        <f>SUM($Z$12:$Z$12)</f>
        <v>0</v>
      </c>
      <c r="AB12" s="26">
        <f>SUMIF($L$4:$AA$4,"SUBTOTAL",$L$12:$AA$12)</f>
        <v>-10.436496538048495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72</v>
      </c>
      <c r="I13" s="29">
        <f>'MERCADO TE'!$U$10</f>
        <v>486.94200000000001</v>
      </c>
      <c r="J13" s="15"/>
      <c r="L13" s="26">
        <f>'TE BE'!$L$13*'TE BE'!$L$48</f>
        <v>0</v>
      </c>
      <c r="M13" s="26">
        <f>'TE BE'!$M$13*'TE BE'!$M$48</f>
        <v>0</v>
      </c>
      <c r="N13" s="26">
        <f>'TE BE'!$N$13*'TE BE'!$N$48</f>
        <v>0</v>
      </c>
      <c r="O13" s="26">
        <f>'TE BE'!$O$13*'TE BE'!$O$48</f>
        <v>0</v>
      </c>
      <c r="P13" s="26">
        <f>'TE BE'!$P$13*'TE BE'!$P$48</f>
        <v>0</v>
      </c>
      <c r="Q13" s="26">
        <f>SUM($L$13:$P$13)</f>
        <v>0</v>
      </c>
      <c r="R13" s="26">
        <f>'TE BE'!$R$13*'TE BE'!$R$48</f>
        <v>-10.436496538048495</v>
      </c>
      <c r="S13" s="26">
        <f>SUM($R$13:$R$13)</f>
        <v>-10.436496538048495</v>
      </c>
      <c r="T13" s="26">
        <f>'TE BE'!$T$13*'TE BE'!$T$48</f>
        <v>0</v>
      </c>
      <c r="U13" s="26">
        <f>'TE BE'!$U$13*'TE BE'!$U$48</f>
        <v>0</v>
      </c>
      <c r="V13" s="26">
        <f>'TE BE'!$V$13*'TE BE'!$V$48</f>
        <v>0</v>
      </c>
      <c r="W13" s="26">
        <f>SUM($T$13:$V$13)</f>
        <v>0</v>
      </c>
      <c r="X13" s="26">
        <f>'TE BE'!$AB$13*'TE BE'!$X$48</f>
        <v>0</v>
      </c>
      <c r="Y13" s="26">
        <f>SUM($X$13:$X$13)</f>
        <v>0</v>
      </c>
      <c r="Z13" s="26">
        <f>'TE BE'!$Z$13*'TE BE'!$Z$48</f>
        <v>0</v>
      </c>
      <c r="AA13" s="26">
        <f>SUM($Z$13:$Z$13)</f>
        <v>0</v>
      </c>
      <c r="AB13" s="26">
        <f>SUMIF($L$4:$AA$4,"SUBTOTAL",$L$13:$AA$13)</f>
        <v>-10.436496538048495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72</v>
      </c>
      <c r="I14" s="29">
        <f>'MERCADO TE'!$U$11</f>
        <v>233.18899999999999</v>
      </c>
      <c r="J14" s="15"/>
      <c r="L14" s="26">
        <f>'TE BE'!$L$14*'TE BE'!$L$48</f>
        <v>0</v>
      </c>
      <c r="M14" s="26">
        <f>'TE BE'!$M$14*'TE BE'!$M$48</f>
        <v>0</v>
      </c>
      <c r="N14" s="26">
        <f>'TE BE'!$N$14*'TE BE'!$N$48</f>
        <v>0</v>
      </c>
      <c r="O14" s="26">
        <f>'TE BE'!$O$14*'TE BE'!$O$48</f>
        <v>0</v>
      </c>
      <c r="P14" s="26">
        <f>'TE BE'!$P$14*'TE BE'!$P$48</f>
        <v>0</v>
      </c>
      <c r="Q14" s="26">
        <f>SUM($L$14:$P$14)</f>
        <v>0</v>
      </c>
      <c r="R14" s="26">
        <f>'TE BE'!$R$14*'TE BE'!$R$48</f>
        <v>-10.436496538048495</v>
      </c>
      <c r="S14" s="26">
        <f>SUM($R$14:$R$14)</f>
        <v>-10.436496538048495</v>
      </c>
      <c r="T14" s="26">
        <f>'TE BE'!$T$14*'TE BE'!$T$48</f>
        <v>0</v>
      </c>
      <c r="U14" s="26">
        <f>'TE BE'!$U$14*'TE BE'!$U$48</f>
        <v>0</v>
      </c>
      <c r="V14" s="26">
        <f>'TE BE'!$V$14*'TE BE'!$V$48</f>
        <v>0</v>
      </c>
      <c r="W14" s="26">
        <f>SUM($T$14:$V$14)</f>
        <v>0</v>
      </c>
      <c r="X14" s="26">
        <f>'TE BE'!$AB$14*'TE BE'!$X$48</f>
        <v>0</v>
      </c>
      <c r="Y14" s="26">
        <f>SUM($X$14:$X$14)</f>
        <v>0</v>
      </c>
      <c r="Z14" s="26">
        <f>'TE BE'!$Z$14*'TE BE'!$Z$48</f>
        <v>0</v>
      </c>
      <c r="AA14" s="26">
        <f>SUM($Z$14:$Z$14)</f>
        <v>0</v>
      </c>
      <c r="AB14" s="26">
        <f>SUMIF($L$4:$AA$4,"SUBTOTAL",$L$14:$AA$14)</f>
        <v>-10.436496538048495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72</v>
      </c>
      <c r="I15" s="29">
        <f>'MERCADO TE'!$U$12</f>
        <v>0</v>
      </c>
      <c r="J15" s="15"/>
      <c r="L15" s="26">
        <f>'TE BE'!$L$15*'TE BE'!$L$48</f>
        <v>0</v>
      </c>
      <c r="M15" s="26">
        <f>'TE BE'!$M$15*'TE BE'!$M$48</f>
        <v>0</v>
      </c>
      <c r="N15" s="26">
        <f>'TE BE'!$N$15*'TE BE'!$N$48</f>
        <v>0</v>
      </c>
      <c r="O15" s="26">
        <f>'TE BE'!$O$15*'TE BE'!$O$48</f>
        <v>0</v>
      </c>
      <c r="P15" s="26">
        <f>'TE BE'!$P$15*'TE BE'!$P$48</f>
        <v>0</v>
      </c>
      <c r="Q15" s="26">
        <f>SUM($L$15:$P$15)</f>
        <v>0</v>
      </c>
      <c r="R15" s="26">
        <f>'TE BE'!$R$15*'TE BE'!$R$48</f>
        <v>-10.436496538048495</v>
      </c>
      <c r="S15" s="26">
        <f>SUM($R$15:$R$15)</f>
        <v>-10.436496538048495</v>
      </c>
      <c r="T15" s="26">
        <f>'TE BE'!$T$15*'TE BE'!$T$48</f>
        <v>0</v>
      </c>
      <c r="U15" s="26">
        <f>'TE BE'!$U$15*'TE BE'!$U$48</f>
        <v>0</v>
      </c>
      <c r="V15" s="26">
        <f>'TE BE'!$V$15*'TE BE'!$V$48</f>
        <v>0</v>
      </c>
      <c r="W15" s="26">
        <f>SUM($T$15:$V$15)</f>
        <v>0</v>
      </c>
      <c r="X15" s="26">
        <f>'TE BE'!$AB$15*'TE BE'!$X$48</f>
        <v>0</v>
      </c>
      <c r="Y15" s="26">
        <f>SUM($X$15:$X$15)</f>
        <v>0</v>
      </c>
      <c r="Z15" s="26">
        <f>'TE BE'!$Z$15*'TE BE'!$Z$48</f>
        <v>0</v>
      </c>
      <c r="AA15" s="26">
        <f>SUM($Z$15:$Z$15)</f>
        <v>0</v>
      </c>
      <c r="AB15" s="26">
        <f>SUMIF($L$4:$AA$4,"SUBTOTAL",$L$15:$AA$15)</f>
        <v>-10.436496538048495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72</v>
      </c>
      <c r="I16" s="29">
        <f>'MERCADO TE'!$U$13</f>
        <v>0</v>
      </c>
      <c r="J16" s="15"/>
      <c r="L16" s="26">
        <f>'TE BE'!$L$16*'TE BE'!$L$48</f>
        <v>0</v>
      </c>
      <c r="M16" s="26">
        <f>'TE BE'!$M$16*'TE BE'!$M$48</f>
        <v>0</v>
      </c>
      <c r="N16" s="26">
        <f>'TE BE'!$N$16*'TE BE'!$N$48</f>
        <v>0</v>
      </c>
      <c r="O16" s="26">
        <f>'TE BE'!$O$16*'TE BE'!$O$48</f>
        <v>0</v>
      </c>
      <c r="P16" s="26">
        <f>'TE BE'!$P$16*'TE BE'!$P$48</f>
        <v>0</v>
      </c>
      <c r="Q16" s="26">
        <f>SUM($L$16:$P$16)</f>
        <v>0</v>
      </c>
      <c r="R16" s="26">
        <f>'TE BE'!$R$16*'TE BE'!$R$48</f>
        <v>-10.436496538048495</v>
      </c>
      <c r="S16" s="26">
        <f>SUM($R$16:$R$16)</f>
        <v>-10.436496538048495</v>
      </c>
      <c r="T16" s="26">
        <f>'TE BE'!$T$16*'TE BE'!$T$48</f>
        <v>0</v>
      </c>
      <c r="U16" s="26">
        <f>'TE BE'!$U$16*'TE BE'!$U$48</f>
        <v>0</v>
      </c>
      <c r="V16" s="26">
        <f>'TE BE'!$V$16*'TE BE'!$V$48</f>
        <v>0</v>
      </c>
      <c r="W16" s="26">
        <f>SUM($T$16:$V$16)</f>
        <v>0</v>
      </c>
      <c r="X16" s="26">
        <f>'TE BE'!$AB$16*'TE BE'!$X$48</f>
        <v>0</v>
      </c>
      <c r="Y16" s="26">
        <f>SUM($X$16:$X$16)</f>
        <v>0</v>
      </c>
      <c r="Z16" s="26">
        <f>'TE BE'!$Z$16*'TE BE'!$Z$48</f>
        <v>0</v>
      </c>
      <c r="AA16" s="26">
        <f>SUM($Z$16:$Z$16)</f>
        <v>0</v>
      </c>
      <c r="AB16" s="26">
        <f>SUMIF($L$4:$AA$4,"SUBTOTAL",$L$16:$AA$16)</f>
        <v>-10.436496538048495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72</v>
      </c>
      <c r="I17" s="29">
        <f>'MERCADO TE'!$U$14</f>
        <v>0</v>
      </c>
      <c r="J17" s="15"/>
      <c r="L17" s="26">
        <f>'TE BE'!$L$17*'TE BE'!$L$48</f>
        <v>0</v>
      </c>
      <c r="M17" s="26">
        <f>'TE BE'!$M$17*'TE BE'!$M$48</f>
        <v>0</v>
      </c>
      <c r="N17" s="26">
        <f>'TE BE'!$N$17*'TE BE'!$N$48</f>
        <v>0</v>
      </c>
      <c r="O17" s="26">
        <f>'TE BE'!$O$17*'TE BE'!$O$48</f>
        <v>0</v>
      </c>
      <c r="P17" s="26">
        <f>'TE BE'!$P$17*'TE BE'!$P$48</f>
        <v>0</v>
      </c>
      <c r="Q17" s="26">
        <f>SUM($L$17:$P$17)</f>
        <v>0</v>
      </c>
      <c r="R17" s="26">
        <f>'TE BE'!$R$17*'TE BE'!$R$48</f>
        <v>-10.436496538048495</v>
      </c>
      <c r="S17" s="26">
        <f>SUM($R$17:$R$17)</f>
        <v>-10.436496538048495</v>
      </c>
      <c r="T17" s="26">
        <f>'TE BE'!$T$17*'TE BE'!$T$48</f>
        <v>0</v>
      </c>
      <c r="U17" s="26">
        <f>'TE BE'!$U$17*'TE BE'!$U$48</f>
        <v>0</v>
      </c>
      <c r="V17" s="26">
        <f>'TE BE'!$V$17*'TE BE'!$V$48</f>
        <v>0</v>
      </c>
      <c r="W17" s="26">
        <f>SUM($T$17:$V$17)</f>
        <v>0</v>
      </c>
      <c r="X17" s="26">
        <f>'TE BE'!$AB$17*'TE BE'!$X$48</f>
        <v>0</v>
      </c>
      <c r="Y17" s="26">
        <f>SUM($X$17:$X$17)</f>
        <v>0</v>
      </c>
      <c r="Z17" s="26">
        <f>'TE BE'!$Z$17*'TE BE'!$Z$48</f>
        <v>0</v>
      </c>
      <c r="AA17" s="26">
        <f>SUM($Z$17:$Z$17)</f>
        <v>0</v>
      </c>
      <c r="AB17" s="26">
        <f>SUMIF($L$4:$AA$4,"SUBTOTAL",$L$17:$AA$17)</f>
        <v>-10.436496538048495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72</v>
      </c>
      <c r="I18" s="29">
        <f>'MERCADO TE'!$U$15</f>
        <v>0</v>
      </c>
      <c r="J18" s="15"/>
      <c r="L18" s="26">
        <f>'TE BE'!$L$18*'TE BE'!$L$48</f>
        <v>0</v>
      </c>
      <c r="M18" s="26">
        <f>'TE BE'!$M$18*'TE BE'!$M$48</f>
        <v>0</v>
      </c>
      <c r="N18" s="26">
        <f>'TE BE'!$N$18*'TE BE'!$N$48</f>
        <v>0</v>
      </c>
      <c r="O18" s="26">
        <f>'TE BE'!$O$18*'TE BE'!$O$48</f>
        <v>0</v>
      </c>
      <c r="P18" s="26">
        <f>'TE BE'!$P$18*'TE BE'!$P$48</f>
        <v>0</v>
      </c>
      <c r="Q18" s="26">
        <f>SUM($L$18:$P$18)</f>
        <v>0</v>
      </c>
      <c r="R18" s="26">
        <f>'TE BE'!$R$18*'TE BE'!$R$48</f>
        <v>-10.436496538048495</v>
      </c>
      <c r="S18" s="26">
        <f>SUM($R$18:$R$18)</f>
        <v>-10.436496538048495</v>
      </c>
      <c r="T18" s="26">
        <f>'TE BE'!$T$18*'TE BE'!$T$48</f>
        <v>0</v>
      </c>
      <c r="U18" s="26">
        <f>'TE BE'!$U$18*'TE BE'!$U$48</f>
        <v>0</v>
      </c>
      <c r="V18" s="26">
        <f>'TE BE'!$V$18*'TE BE'!$V$48</f>
        <v>0</v>
      </c>
      <c r="W18" s="26">
        <f>SUM($T$18:$V$18)</f>
        <v>0</v>
      </c>
      <c r="X18" s="26">
        <f>'TE BE'!$AB$18*'TE BE'!$X$48</f>
        <v>0</v>
      </c>
      <c r="Y18" s="26">
        <f>SUM($X$18:$X$18)</f>
        <v>0</v>
      </c>
      <c r="Z18" s="26">
        <f>'TE BE'!$Z$18*'TE BE'!$Z$48</f>
        <v>0</v>
      </c>
      <c r="AA18" s="26">
        <f>SUM($Z$18:$Z$18)</f>
        <v>0</v>
      </c>
      <c r="AB18" s="26">
        <f>SUMIF($L$4:$AA$4,"SUBTOTAL",$L$18:$AA$18)</f>
        <v>-10.436496538048495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72</v>
      </c>
      <c r="I19" s="29">
        <f>'MERCADO TE'!$U$16</f>
        <v>0</v>
      </c>
      <c r="J19" s="15"/>
      <c r="L19" s="26">
        <f>'TE BE'!$L$19*'TE BE'!$L$48</f>
        <v>0</v>
      </c>
      <c r="M19" s="26">
        <f>'TE BE'!$M$19*'TE BE'!$M$48</f>
        <v>0</v>
      </c>
      <c r="N19" s="26">
        <f>'TE BE'!$N$19*'TE BE'!$N$48</f>
        <v>0</v>
      </c>
      <c r="O19" s="26">
        <f>'TE BE'!$O$19*'TE BE'!$O$48</f>
        <v>0</v>
      </c>
      <c r="P19" s="26">
        <f>'TE BE'!$P$19*'TE BE'!$P$48</f>
        <v>0</v>
      </c>
      <c r="Q19" s="26">
        <f>SUM($L$19:$P$19)</f>
        <v>0</v>
      </c>
      <c r="R19" s="26">
        <f>'TE BE'!$R$19*'TE BE'!$R$48</f>
        <v>-10.436496538048495</v>
      </c>
      <c r="S19" s="26">
        <f>SUM($R$19:$R$19)</f>
        <v>-10.436496538048495</v>
      </c>
      <c r="T19" s="26">
        <f>'TE BE'!$T$19*'TE BE'!$T$48</f>
        <v>0</v>
      </c>
      <c r="U19" s="26">
        <f>'TE BE'!$U$19*'TE BE'!$U$48</f>
        <v>0</v>
      </c>
      <c r="V19" s="26">
        <f>'TE BE'!$V$19*'TE BE'!$V$48</f>
        <v>0</v>
      </c>
      <c r="W19" s="26">
        <f>SUM($T$19:$V$19)</f>
        <v>0</v>
      </c>
      <c r="X19" s="26">
        <f>'TE BE'!$AB$19*'TE BE'!$X$48</f>
        <v>0</v>
      </c>
      <c r="Y19" s="26">
        <f>SUM($X$19:$X$19)</f>
        <v>0</v>
      </c>
      <c r="Z19" s="26">
        <f>'TE BE'!$Z$19*'TE BE'!$Z$48</f>
        <v>0</v>
      </c>
      <c r="AA19" s="26">
        <f>SUM($Z$19:$Z$19)</f>
        <v>0</v>
      </c>
      <c r="AB19" s="26">
        <f>SUMIF($L$4:$AA$4,"SUBTOTAL",$L$19:$AA$19)</f>
        <v>-10.436496538048495</v>
      </c>
    </row>
    <row r="20" spans="1:28" ht="11.25" customHeight="1" x14ac:dyDescent="0.25">
      <c r="A20" s="99" t="s">
        <v>43</v>
      </c>
      <c r="B20" s="99" t="s">
        <v>71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'TE BE'!$L$20*'TE BE'!$L$48</f>
        <v>0</v>
      </c>
      <c r="M20" s="26">
        <f>'TE BE'!$M$20*'TE BE'!$M$48</f>
        <v>0</v>
      </c>
      <c r="N20" s="26">
        <f>'TE BE'!$N$20*'TE BE'!$N$48</f>
        <v>0</v>
      </c>
      <c r="O20" s="26">
        <f>'TE BE'!$O$20*'TE BE'!$O$48</f>
        <v>0</v>
      </c>
      <c r="P20" s="26">
        <f>'TE BE'!$P$20*'TE BE'!$P$48</f>
        <v>0</v>
      </c>
      <c r="Q20" s="26">
        <f>SUM($L$20:$P$20)</f>
        <v>0</v>
      </c>
      <c r="R20" s="26">
        <f>'TE BE'!$R$20*'TE BE'!$R$48</f>
        <v>-10.436496538048495</v>
      </c>
      <c r="S20" s="26">
        <f>SUM($R$20:$R$20)</f>
        <v>-10.436496538048495</v>
      </c>
      <c r="T20" s="26">
        <f>'TE BE'!$T$20*'TE BE'!$T$48</f>
        <v>0</v>
      </c>
      <c r="U20" s="26">
        <f>'TE BE'!$U$20*'TE BE'!$U$48</f>
        <v>0</v>
      </c>
      <c r="V20" s="26">
        <f>'TE BE'!$V$20*'TE BE'!$V$48</f>
        <v>0</v>
      </c>
      <c r="W20" s="26">
        <f>SUM($T$20:$V$20)</f>
        <v>0</v>
      </c>
      <c r="X20" s="26">
        <f>'TE BE'!$AB$20*'TE BE'!$X$48</f>
        <v>0</v>
      </c>
      <c r="Y20" s="26">
        <f>SUM($X$20:$X$20)</f>
        <v>0</v>
      </c>
      <c r="Z20" s="26">
        <f>'TE BE'!$Z$20*'TE BE'!$Z$48</f>
        <v>0</v>
      </c>
      <c r="AA20" s="26">
        <f>SUM($Z$20:$Z$20)</f>
        <v>0</v>
      </c>
      <c r="AB20" s="26">
        <f>SUMIF($L$4:$AA$4,"SUBTOTAL",$L$20:$AA$20)</f>
        <v>-10.436496538048495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72</v>
      </c>
      <c r="I21" s="29">
        <f>'MERCADO TE'!$U$18</f>
        <v>0</v>
      </c>
      <c r="J21" s="15"/>
      <c r="L21" s="26">
        <f>'TE BE'!$L$21*'TE BE'!$L$48</f>
        <v>0</v>
      </c>
      <c r="M21" s="26">
        <f>'TE BE'!$M$21*'TE BE'!$M$48</f>
        <v>0</v>
      </c>
      <c r="N21" s="26">
        <f>'TE BE'!$N$21*'TE BE'!$N$48</f>
        <v>0</v>
      </c>
      <c r="O21" s="26">
        <f>'TE BE'!$O$21*'TE BE'!$O$48</f>
        <v>0</v>
      </c>
      <c r="P21" s="26">
        <f>'TE BE'!$P$21*'TE BE'!$P$48</f>
        <v>0</v>
      </c>
      <c r="Q21" s="26">
        <f>SUM($L$21:$P$21)</f>
        <v>0</v>
      </c>
      <c r="R21" s="26">
        <f>'TE BE'!$R$21*'TE BE'!$R$48</f>
        <v>-10.436496538048495</v>
      </c>
      <c r="S21" s="26">
        <f>SUM($R$21:$R$21)</f>
        <v>-10.436496538048495</v>
      </c>
      <c r="T21" s="26">
        <f>'TE BE'!$T$21*'TE BE'!$T$48</f>
        <v>0</v>
      </c>
      <c r="U21" s="26">
        <f>'TE BE'!$U$21*'TE BE'!$U$48</f>
        <v>0</v>
      </c>
      <c r="V21" s="26">
        <f>'TE BE'!$V$21*'TE BE'!$V$48</f>
        <v>0</v>
      </c>
      <c r="W21" s="26">
        <f>SUM($T$21:$V$21)</f>
        <v>0</v>
      </c>
      <c r="X21" s="26">
        <f>'TE BE'!$AB$21*'TE BE'!$X$48</f>
        <v>0</v>
      </c>
      <c r="Y21" s="26">
        <f>SUM($X$21:$X$21)</f>
        <v>0</v>
      </c>
      <c r="Z21" s="26">
        <f>'TE BE'!$Z$21*'TE BE'!$Z$48</f>
        <v>0</v>
      </c>
      <c r="AA21" s="26">
        <f>SUM($Z$21:$Z$21)</f>
        <v>0</v>
      </c>
      <c r="AB21" s="26">
        <f>SUMIF($L$4:$AA$4,"SUBTOTAL",$L$21:$AA$21)</f>
        <v>-10.436496538048495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74</v>
      </c>
      <c r="H22" s="29" t="s">
        <v>72</v>
      </c>
      <c r="I22" s="29">
        <f>'MERCADO TE'!$U$19</f>
        <v>0</v>
      </c>
      <c r="J22" s="15"/>
      <c r="L22" s="26">
        <f>'TE BE'!$L$22*'TE BE'!$L$48</f>
        <v>0</v>
      </c>
      <c r="M22" s="26">
        <f>'TE BE'!$M$22*'TE BE'!$M$48</f>
        <v>0</v>
      </c>
      <c r="N22" s="26">
        <f>'TE BE'!$N$22*'TE BE'!$N$48</f>
        <v>0</v>
      </c>
      <c r="O22" s="26">
        <f>'TE BE'!$O$22*'TE BE'!$O$48</f>
        <v>0</v>
      </c>
      <c r="P22" s="26">
        <f>'TE BE'!$P$22*'TE BE'!$P$48</f>
        <v>0</v>
      </c>
      <c r="Q22" s="26">
        <f>SUM($L$22:$P$22)</f>
        <v>0</v>
      </c>
      <c r="R22" s="26">
        <f>'TE BE'!$R$22*'TE BE'!$R$48</f>
        <v>-10.436496538048495</v>
      </c>
      <c r="S22" s="26">
        <f>SUM($R$22:$R$22)</f>
        <v>-10.436496538048495</v>
      </c>
      <c r="T22" s="26">
        <f>'TE BE'!$T$22*'TE BE'!$T$48</f>
        <v>0</v>
      </c>
      <c r="U22" s="26">
        <f>'TE BE'!$U$22*'TE BE'!$U$48</f>
        <v>0</v>
      </c>
      <c r="V22" s="26">
        <f>'TE BE'!$V$22*'TE BE'!$V$48</f>
        <v>0</v>
      </c>
      <c r="W22" s="26">
        <f>SUM($T$22:$V$22)</f>
        <v>0</v>
      </c>
      <c r="X22" s="26">
        <f>'TE BE'!$AB$22*'TE BE'!$X$48</f>
        <v>0</v>
      </c>
      <c r="Y22" s="26">
        <f>SUM($X$22:$X$22)</f>
        <v>0</v>
      </c>
      <c r="Z22" s="26">
        <f>'TE BE'!$Z$22*'TE BE'!$Z$48</f>
        <v>0</v>
      </c>
      <c r="AA22" s="26">
        <f>SUM($Z$22:$Z$22)</f>
        <v>0</v>
      </c>
      <c r="AB22" s="26">
        <f>SUMIF($L$4:$AA$4,"SUBTOTAL",$L$22:$AA$22)</f>
        <v>-10.436496538048495</v>
      </c>
    </row>
    <row r="23" spans="1:28" ht="11.25" customHeight="1" x14ac:dyDescent="0.25">
      <c r="A23" s="99"/>
      <c r="B23" s="28" t="s">
        <v>85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72</v>
      </c>
      <c r="I23" s="29">
        <f>'MERCADO TE'!$U$20</f>
        <v>3201.45</v>
      </c>
      <c r="J23" s="15"/>
      <c r="L23" s="26">
        <f>'TE BE'!$L$23*'TE BE'!$L$48</f>
        <v>0</v>
      </c>
      <c r="M23" s="26">
        <f>'TE BE'!$M$23*'TE BE'!$M$48</f>
        <v>0</v>
      </c>
      <c r="N23" s="26">
        <f>'TE BE'!$N$23*'TE BE'!$N$48</f>
        <v>0</v>
      </c>
      <c r="O23" s="26">
        <f>'TE BE'!$O$23*'TE BE'!$O$48</f>
        <v>0</v>
      </c>
      <c r="P23" s="26">
        <f>'TE BE'!$P$23*'TE BE'!$P$48</f>
        <v>0</v>
      </c>
      <c r="Q23" s="26">
        <f>SUM($L$23:$P$23)</f>
        <v>0</v>
      </c>
      <c r="R23" s="26">
        <f>'TE BE'!$R$23*'TE BE'!$R$48</f>
        <v>-10.436496538048495</v>
      </c>
      <c r="S23" s="26">
        <f>SUM($R$23:$R$23)</f>
        <v>-10.436496538048495</v>
      </c>
      <c r="T23" s="26">
        <f>'TE BE'!$T$23*'TE BE'!$T$48</f>
        <v>0</v>
      </c>
      <c r="U23" s="26">
        <f>'TE BE'!$U$23*'TE BE'!$U$48</f>
        <v>0</v>
      </c>
      <c r="V23" s="26">
        <f>'TE BE'!$V$23*'TE BE'!$V$48</f>
        <v>0</v>
      </c>
      <c r="W23" s="26">
        <f>SUM($T$23:$V$23)</f>
        <v>0</v>
      </c>
      <c r="X23" s="26">
        <f>'TE BE'!$AB$23*'TE BE'!$X$48</f>
        <v>0</v>
      </c>
      <c r="Y23" s="26">
        <f>SUM($X$23:$X$23)</f>
        <v>0</v>
      </c>
      <c r="Z23" s="26">
        <f>'TE BE'!$Z$23*'TE BE'!$Z$48</f>
        <v>0</v>
      </c>
      <c r="AA23" s="26">
        <f>SUM($Z$23:$Z$23)</f>
        <v>0</v>
      </c>
      <c r="AB23" s="26">
        <f>SUMIF($L$4:$AA$4,"SUBTOTAL",$L$23:$AA$23)</f>
        <v>-10.436496538048495</v>
      </c>
    </row>
    <row r="24" spans="1:28" ht="11.25" customHeight="1" x14ac:dyDescent="0.25">
      <c r="A24" s="99"/>
      <c r="B24" s="99" t="s">
        <v>71</v>
      </c>
      <c r="C24" s="99" t="s">
        <v>44</v>
      </c>
      <c r="D24" s="99" t="s">
        <v>88</v>
      </c>
      <c r="E24" s="99" t="s">
        <v>25</v>
      </c>
      <c r="F24" s="99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'TE BE'!$L$24*'TE BE'!$L$48</f>
        <v>0</v>
      </c>
      <c r="M24" s="26">
        <f>'TE BE'!$M$24*'TE BE'!$M$48</f>
        <v>0</v>
      </c>
      <c r="N24" s="26">
        <f>'TE BE'!$N$24*'TE BE'!$N$48</f>
        <v>0</v>
      </c>
      <c r="O24" s="26">
        <f>'TE BE'!$O$24*'TE BE'!$O$48</f>
        <v>0</v>
      </c>
      <c r="P24" s="26">
        <f>'TE BE'!$P$24*'TE BE'!$P$48</f>
        <v>0</v>
      </c>
      <c r="Q24" s="26">
        <f>SUM($L$24:$P$24)</f>
        <v>0</v>
      </c>
      <c r="R24" s="26">
        <f>'TE BE'!$R$24*'TE BE'!$R$48</f>
        <v>-10.436496538048495</v>
      </c>
      <c r="S24" s="26">
        <f>SUM($R$24:$R$24)</f>
        <v>-10.436496538048495</v>
      </c>
      <c r="T24" s="26">
        <f>'TE BE'!$T$24*'TE BE'!$T$48</f>
        <v>0</v>
      </c>
      <c r="U24" s="26">
        <f>'TE BE'!$U$24*'TE BE'!$U$48</f>
        <v>0</v>
      </c>
      <c r="V24" s="26">
        <f>'TE BE'!$V$24*'TE BE'!$V$48</f>
        <v>0</v>
      </c>
      <c r="W24" s="26">
        <f>SUM($T$24:$V$24)</f>
        <v>0</v>
      </c>
      <c r="X24" s="26">
        <f>'TE BE'!$AB$24*'TE BE'!$X$48</f>
        <v>0</v>
      </c>
      <c r="Y24" s="26">
        <f>SUM($X$24:$X$24)</f>
        <v>0</v>
      </c>
      <c r="Z24" s="26">
        <f>'TE BE'!$Z$24*'TE BE'!$Z$48</f>
        <v>0</v>
      </c>
      <c r="AA24" s="26">
        <f>SUM($Z$24:$Z$24)</f>
        <v>0</v>
      </c>
      <c r="AB24" s="26">
        <f>SUMIF($L$4:$AA$4,"SUBTOTAL",$L$24:$AA$24)</f>
        <v>-10.436496538048495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72</v>
      </c>
      <c r="I25" s="29">
        <f>'MERCADO TE'!$U$22</f>
        <v>0</v>
      </c>
      <c r="J25" s="15"/>
      <c r="L25" s="26">
        <f>'TE BE'!$L$25*'TE BE'!$L$48</f>
        <v>0</v>
      </c>
      <c r="M25" s="26">
        <f>'TE BE'!$M$25*'TE BE'!$M$48</f>
        <v>0</v>
      </c>
      <c r="N25" s="26">
        <f>'TE BE'!$N$25*'TE BE'!$N$48</f>
        <v>0</v>
      </c>
      <c r="O25" s="26">
        <f>'TE BE'!$O$25*'TE BE'!$O$48</f>
        <v>0</v>
      </c>
      <c r="P25" s="26">
        <f>'TE BE'!$P$25*'TE BE'!$P$48</f>
        <v>0</v>
      </c>
      <c r="Q25" s="26">
        <f>SUM($L$25:$P$25)</f>
        <v>0</v>
      </c>
      <c r="R25" s="26">
        <f>'TE BE'!$R$25*'TE BE'!$R$48</f>
        <v>-10.436496538048495</v>
      </c>
      <c r="S25" s="26">
        <f>SUM($R$25:$R$25)</f>
        <v>-10.436496538048495</v>
      </c>
      <c r="T25" s="26">
        <f>'TE BE'!$T$25*'TE BE'!$T$48</f>
        <v>0</v>
      </c>
      <c r="U25" s="26">
        <f>'TE BE'!$U$25*'TE BE'!$U$48</f>
        <v>0</v>
      </c>
      <c r="V25" s="26">
        <f>'TE BE'!$V$25*'TE BE'!$V$48</f>
        <v>0</v>
      </c>
      <c r="W25" s="26">
        <f>SUM($T$25:$V$25)</f>
        <v>0</v>
      </c>
      <c r="X25" s="26">
        <f>'TE BE'!$AB$25*'TE BE'!$X$48</f>
        <v>0</v>
      </c>
      <c r="Y25" s="26">
        <f>SUM($X$25:$X$25)</f>
        <v>0</v>
      </c>
      <c r="Z25" s="26">
        <f>'TE BE'!$Z$25*'TE BE'!$Z$48</f>
        <v>0</v>
      </c>
      <c r="AA25" s="26">
        <f>SUM($Z$25:$Z$25)</f>
        <v>0</v>
      </c>
      <c r="AB25" s="26">
        <f>SUMIF($L$4:$AA$4,"SUBTOTAL",$L$25:$AA$25)</f>
        <v>-10.436496538048495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74</v>
      </c>
      <c r="H26" s="29" t="s">
        <v>72</v>
      </c>
      <c r="I26" s="29">
        <f>'MERCADO TE'!$U$23</f>
        <v>0</v>
      </c>
      <c r="J26" s="15"/>
      <c r="L26" s="26">
        <f>'TE BE'!$L$26*'TE BE'!$L$48</f>
        <v>0</v>
      </c>
      <c r="M26" s="26">
        <f>'TE BE'!$M$26*'TE BE'!$M$48</f>
        <v>0</v>
      </c>
      <c r="N26" s="26">
        <f>'TE BE'!$N$26*'TE BE'!$N$48</f>
        <v>0</v>
      </c>
      <c r="O26" s="26">
        <f>'TE BE'!$O$26*'TE BE'!$O$48</f>
        <v>0</v>
      </c>
      <c r="P26" s="26">
        <f>'TE BE'!$P$26*'TE BE'!$P$48</f>
        <v>0</v>
      </c>
      <c r="Q26" s="26">
        <f>SUM($L$26:$P$26)</f>
        <v>0</v>
      </c>
      <c r="R26" s="26">
        <f>'TE BE'!$R$26*'TE BE'!$R$48</f>
        <v>-10.436496538048495</v>
      </c>
      <c r="S26" s="26">
        <f>SUM($R$26:$R$26)</f>
        <v>-10.436496538048495</v>
      </c>
      <c r="T26" s="26">
        <f>'TE BE'!$T$26*'TE BE'!$T$48</f>
        <v>0</v>
      </c>
      <c r="U26" s="26">
        <f>'TE BE'!$U$26*'TE BE'!$U$48</f>
        <v>0</v>
      </c>
      <c r="V26" s="26">
        <f>'TE BE'!$V$26*'TE BE'!$V$48</f>
        <v>0</v>
      </c>
      <c r="W26" s="26">
        <f>SUM($T$26:$V$26)</f>
        <v>0</v>
      </c>
      <c r="X26" s="26">
        <f>'TE BE'!$AB$26*'TE BE'!$X$48</f>
        <v>0</v>
      </c>
      <c r="Y26" s="26">
        <f>SUM($X$26:$X$26)</f>
        <v>0</v>
      </c>
      <c r="Z26" s="26">
        <f>'TE BE'!$Z$26*'TE BE'!$Z$48</f>
        <v>0</v>
      </c>
      <c r="AA26" s="26">
        <f>SUM($Z$26:$Z$26)</f>
        <v>0</v>
      </c>
      <c r="AB26" s="26">
        <f>SUMIF($L$4:$AA$4,"SUBTOTAL",$L$26:$AA$26)</f>
        <v>-10.436496538048495</v>
      </c>
    </row>
    <row r="27" spans="1:28" ht="11.25" customHeight="1" x14ac:dyDescent="0.25">
      <c r="A27" s="99"/>
      <c r="B27" s="28" t="s">
        <v>85</v>
      </c>
      <c r="C27" s="28" t="s">
        <v>44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72</v>
      </c>
      <c r="I27" s="29">
        <f>'MERCADO TE'!$U$24</f>
        <v>0</v>
      </c>
      <c r="J27" s="15"/>
      <c r="L27" s="26">
        <f>'TE BE'!$L$27*'TE BE'!$L$48</f>
        <v>0</v>
      </c>
      <c r="M27" s="26">
        <f>'TE BE'!$M$27*'TE BE'!$M$48</f>
        <v>0</v>
      </c>
      <c r="N27" s="26">
        <f>'TE BE'!$N$27*'TE BE'!$N$48</f>
        <v>0</v>
      </c>
      <c r="O27" s="26">
        <f>'TE BE'!$O$27*'TE BE'!$O$48</f>
        <v>0</v>
      </c>
      <c r="P27" s="26">
        <f>'TE BE'!$P$27*'TE BE'!$P$48</f>
        <v>0</v>
      </c>
      <c r="Q27" s="26">
        <f>SUM($L$27:$P$27)</f>
        <v>0</v>
      </c>
      <c r="R27" s="26">
        <f>'TE BE'!$R$27*'TE BE'!$R$48</f>
        <v>-10.436496538048495</v>
      </c>
      <c r="S27" s="26">
        <f>SUM($R$27:$R$27)</f>
        <v>-10.436496538048495</v>
      </c>
      <c r="T27" s="26">
        <f>'TE BE'!$T$27*'TE BE'!$T$48</f>
        <v>0</v>
      </c>
      <c r="U27" s="26">
        <f>'TE BE'!$U$27*'TE BE'!$U$48</f>
        <v>0</v>
      </c>
      <c r="V27" s="26">
        <f>'TE BE'!$V$27*'TE BE'!$V$48</f>
        <v>0</v>
      </c>
      <c r="W27" s="26">
        <f>SUM($T$27:$V$27)</f>
        <v>0</v>
      </c>
      <c r="X27" s="26">
        <f>'TE BE'!$AB$27*'TE BE'!$X$48</f>
        <v>0</v>
      </c>
      <c r="Y27" s="26">
        <f>SUM($X$27:$X$27)</f>
        <v>0</v>
      </c>
      <c r="Z27" s="26">
        <f>'TE BE'!$Z$27*'TE BE'!$Z$48</f>
        <v>0</v>
      </c>
      <c r="AA27" s="26">
        <f>SUM($Z$27:$Z$27)</f>
        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28" s="99" t="s">
        <v>71</v>
      </c>
      <c r="C28" s="99" t="s">
        <v>44</v>
      </c>
      <c r="D28" s="99" t="s">
        <v>89</v>
      </c>
      <c r="E28" s="99" t="s">
        <v>25</v>
      </c>
      <c r="F28" s="99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'TE BE'!$L$28*'TE BE'!$L$48</f>
        <v>0</v>
      </c>
      <c r="M28" s="26">
        <f>'TE BE'!$M$28*'TE BE'!$M$48</f>
        <v>0</v>
      </c>
      <c r="N28" s="26">
        <f>'TE BE'!$N$28*'TE BE'!$N$48</f>
        <v>0</v>
      </c>
      <c r="O28" s="26">
        <f>'TE BE'!$O$28*'TE BE'!$O$48</f>
        <v>0</v>
      </c>
      <c r="P28" s="26">
        <f>'TE BE'!$P$28*'TE BE'!$P$48</f>
        <v>0</v>
      </c>
      <c r="Q28" s="26">
        <f>SUM($L$28:$P$28)</f>
        <v>0</v>
      </c>
      <c r="R28" s="26">
        <f>'TE BE'!$R$28*'TE BE'!$R$48</f>
        <v>-10.436496538048495</v>
      </c>
      <c r="S28" s="26">
        <f>SUM($R$28:$R$28)</f>
        <v>-10.436496538048495</v>
      </c>
      <c r="T28" s="26">
        <f>'TE BE'!$T$28*'TE BE'!$T$48</f>
        <v>0</v>
      </c>
      <c r="U28" s="26">
        <f>'TE BE'!$U$28*'TE BE'!$U$48</f>
        <v>0</v>
      </c>
      <c r="V28" s="26">
        <f>'TE BE'!$V$28*'TE BE'!$V$48</f>
        <v>0</v>
      </c>
      <c r="W28" s="26">
        <f>SUM($T$28:$V$28)</f>
        <v>0</v>
      </c>
      <c r="X28" s="26">
        <f>'TE BE'!$AB$28*'TE BE'!$X$48</f>
        <v>0</v>
      </c>
      <c r="Y28" s="26">
        <f>SUM($X$28:$X$28)</f>
        <v>0</v>
      </c>
      <c r="Z28" s="26">
        <f>'TE BE'!$Z$28*'TE BE'!$Z$48</f>
        <v>0</v>
      </c>
      <c r="AA28" s="26">
        <f>SUM($Z$28:$Z$28)</f>
        <v>0</v>
      </c>
      <c r="AB28" s="26">
        <f>SUMIF($L$4:$AA$4,"SUBTOTAL",$L$28:$AA$28)</f>
        <v>-10.436496538048495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72</v>
      </c>
      <c r="I29" s="29">
        <f>'MERCADO TE'!$U$26</f>
        <v>0</v>
      </c>
      <c r="J29" s="15"/>
      <c r="L29" s="26">
        <f>'TE BE'!$L$29*'TE BE'!$L$48</f>
        <v>0</v>
      </c>
      <c r="M29" s="26">
        <f>'TE BE'!$M$29*'TE BE'!$M$48</f>
        <v>0</v>
      </c>
      <c r="N29" s="26">
        <f>'TE BE'!$N$29*'TE BE'!$N$48</f>
        <v>0</v>
      </c>
      <c r="O29" s="26">
        <f>'TE BE'!$O$29*'TE BE'!$O$48</f>
        <v>0</v>
      </c>
      <c r="P29" s="26">
        <f>'TE BE'!$P$29*'TE BE'!$P$48</f>
        <v>0</v>
      </c>
      <c r="Q29" s="26">
        <f>SUM($L$29:$P$29)</f>
        <v>0</v>
      </c>
      <c r="R29" s="26">
        <f>'TE BE'!$R$29*'TE BE'!$R$48</f>
        <v>-10.436496538048495</v>
      </c>
      <c r="S29" s="26">
        <f>SUM($R$29:$R$29)</f>
        <v>-10.436496538048495</v>
      </c>
      <c r="T29" s="26">
        <f>'TE BE'!$T$29*'TE BE'!$T$48</f>
        <v>0</v>
      </c>
      <c r="U29" s="26">
        <f>'TE BE'!$U$29*'TE BE'!$U$48</f>
        <v>0</v>
      </c>
      <c r="V29" s="26">
        <f>'TE BE'!$V$29*'TE BE'!$V$48</f>
        <v>0</v>
      </c>
      <c r="W29" s="26">
        <f>SUM($T$29:$V$29)</f>
        <v>0</v>
      </c>
      <c r="X29" s="26">
        <f>'TE BE'!$AB$29*'TE BE'!$X$48</f>
        <v>0</v>
      </c>
      <c r="Y29" s="26">
        <f>SUM($X$29:$X$29)</f>
        <v>0</v>
      </c>
      <c r="Z29" s="26">
        <f>'TE BE'!$Z$29*'TE BE'!$Z$48</f>
        <v>0</v>
      </c>
      <c r="AA29" s="26">
        <f>SUM($Z$29:$Z$29)</f>
        <v>0</v>
      </c>
      <c r="AB29" s="26">
        <f>SUMIF($L$4:$AA$4,"SUBTOTAL",$L$29:$AA$29)</f>
        <v>-10.436496538048495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74</v>
      </c>
      <c r="H30" s="29" t="s">
        <v>72</v>
      </c>
      <c r="I30" s="29">
        <f>'MERCADO TE'!$U$27</f>
        <v>0</v>
      </c>
      <c r="J30" s="15"/>
      <c r="L30" s="26">
        <f>'TE BE'!$L$30*'TE BE'!$L$48</f>
        <v>0</v>
      </c>
      <c r="M30" s="26">
        <f>'TE BE'!$M$30*'TE BE'!$M$48</f>
        <v>0</v>
      </c>
      <c r="N30" s="26">
        <f>'TE BE'!$N$30*'TE BE'!$N$48</f>
        <v>0</v>
      </c>
      <c r="O30" s="26">
        <f>'TE BE'!$O$30*'TE BE'!$O$48</f>
        <v>0</v>
      </c>
      <c r="P30" s="26">
        <f>'TE BE'!$P$30*'TE BE'!$P$48</f>
        <v>0</v>
      </c>
      <c r="Q30" s="26">
        <f>SUM($L$30:$P$30)</f>
        <v>0</v>
      </c>
      <c r="R30" s="26">
        <f>'TE BE'!$R$30*'TE BE'!$R$48</f>
        <v>-10.436496538048495</v>
      </c>
      <c r="S30" s="26">
        <f>SUM($R$30:$R$30)</f>
        <v>-10.436496538048495</v>
      </c>
      <c r="T30" s="26">
        <f>'TE BE'!$T$30*'TE BE'!$T$48</f>
        <v>0</v>
      </c>
      <c r="U30" s="26">
        <f>'TE BE'!$U$30*'TE BE'!$U$48</f>
        <v>0</v>
      </c>
      <c r="V30" s="26">
        <f>'TE BE'!$V$30*'TE BE'!$V$48</f>
        <v>0</v>
      </c>
      <c r="W30" s="26">
        <f>SUM($T$30:$V$30)</f>
        <v>0</v>
      </c>
      <c r="X30" s="26">
        <f>'TE BE'!$AB$30*'TE BE'!$X$48</f>
        <v>0</v>
      </c>
      <c r="Y30" s="26">
        <f>SUM($X$30:$X$30)</f>
        <v>0</v>
      </c>
      <c r="Z30" s="26">
        <f>'TE BE'!$Z$30*'TE BE'!$Z$48</f>
        <v>0</v>
      </c>
      <c r="AA30" s="26">
        <f>SUM($Z$30:$Z$30)</f>
        <v>0</v>
      </c>
      <c r="AB30" s="26">
        <f>SUMIF($L$4:$AA$4,"SUBTOTAL",$L$30:$AA$30)</f>
        <v>-10.436496538048495</v>
      </c>
    </row>
    <row r="31" spans="1:28" ht="11.25" customHeight="1" x14ac:dyDescent="0.25">
      <c r="A31" s="99"/>
      <c r="B31" s="28" t="s">
        <v>85</v>
      </c>
      <c r="C31" s="28" t="s">
        <v>44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72</v>
      </c>
      <c r="I31" s="29">
        <f>'MERCADO TE'!$U$28</f>
        <v>0</v>
      </c>
      <c r="J31" s="15"/>
      <c r="L31" s="26">
        <f>'TE BE'!$L$31*'TE BE'!$L$48</f>
        <v>0</v>
      </c>
      <c r="M31" s="26">
        <f>'TE BE'!$M$31*'TE BE'!$M$48</f>
        <v>0</v>
      </c>
      <c r="N31" s="26">
        <f>'TE BE'!$N$31*'TE BE'!$N$48</f>
        <v>0</v>
      </c>
      <c r="O31" s="26">
        <f>'TE BE'!$O$31*'TE BE'!$O$48</f>
        <v>0</v>
      </c>
      <c r="P31" s="26">
        <f>'TE BE'!$P$31*'TE BE'!$P$48</f>
        <v>0</v>
      </c>
      <c r="Q31" s="26">
        <f>SUM($L$31:$P$31)</f>
        <v>0</v>
      </c>
      <c r="R31" s="26">
        <f>'TE BE'!$R$31*'TE BE'!$R$48</f>
        <v>-10.436496538048495</v>
      </c>
      <c r="S31" s="26">
        <f>SUM($R$31:$R$31)</f>
        <v>-10.436496538048495</v>
      </c>
      <c r="T31" s="26">
        <f>'TE BE'!$T$31*'TE BE'!$T$48</f>
        <v>0</v>
      </c>
      <c r="U31" s="26">
        <f>'TE BE'!$U$31*'TE BE'!$U$48</f>
        <v>0</v>
      </c>
      <c r="V31" s="26">
        <f>'TE BE'!$V$31*'TE BE'!$V$48</f>
        <v>0</v>
      </c>
      <c r="W31" s="26">
        <f>SUM($T$31:$V$31)</f>
        <v>0</v>
      </c>
      <c r="X31" s="26">
        <f>'TE BE'!$AB$31*'TE BE'!$X$48</f>
        <v>0</v>
      </c>
      <c r="Y31" s="26">
        <f>SUM($X$31:$X$31)</f>
        <v>0</v>
      </c>
      <c r="Z31" s="26">
        <f>'TE BE'!$Z$31*'TE BE'!$Z$48</f>
        <v>0</v>
      </c>
      <c r="AA31" s="26">
        <f>SUM($Z$31:$Z$31)</f>
        <v>0</v>
      </c>
      <c r="AB31" s="26">
        <f>SUMIF($L$4:$AA$4,"SUBTOTAL",$L$31:$AA$31)</f>
        <v>-10.436496538048495</v>
      </c>
    </row>
    <row r="32" spans="1:28" ht="11.25" customHeight="1" x14ac:dyDescent="0.25">
      <c r="A32" s="99"/>
      <c r="B32" s="99" t="s">
        <v>86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72</v>
      </c>
      <c r="I32" s="29">
        <f>'MERCADO TE'!$U$29</f>
        <v>0</v>
      </c>
      <c r="J32" s="15"/>
      <c r="L32" s="26">
        <f>'TE BE'!$L$32*'TE BE'!$L$48</f>
        <v>0</v>
      </c>
      <c r="M32" s="26">
        <f>'TE BE'!$M$32*'TE BE'!$M$48</f>
        <v>0</v>
      </c>
      <c r="N32" s="26">
        <f>'TE BE'!$N$32*'TE BE'!$N$48</f>
        <v>0</v>
      </c>
      <c r="O32" s="26">
        <f>'TE BE'!$O$32*'TE BE'!$O$48</f>
        <v>0</v>
      </c>
      <c r="P32" s="26">
        <f>'TE BE'!$P$32*'TE BE'!$P$48</f>
        <v>0</v>
      </c>
      <c r="Q32" s="26">
        <f>SUM($L$32:$P$32)</f>
        <v>0</v>
      </c>
      <c r="R32" s="26">
        <f>'TE BE'!$R$32*'TE BE'!$R$48</f>
        <v>-10.436496538048495</v>
      </c>
      <c r="S32" s="26">
        <f>SUM($R$32:$R$32)</f>
        <v>-10.436496538048495</v>
      </c>
      <c r="T32" s="26">
        <f>'TE BE'!$T$32*'TE BE'!$T$48</f>
        <v>0</v>
      </c>
      <c r="U32" s="26">
        <f>'TE BE'!$U$32*'TE BE'!$U$48</f>
        <v>0</v>
      </c>
      <c r="V32" s="26">
        <f>'TE BE'!$V$32*'TE BE'!$V$48</f>
        <v>0</v>
      </c>
      <c r="W32" s="26">
        <f>SUM($T$32:$V$32)</f>
        <v>0</v>
      </c>
      <c r="X32" s="26">
        <f>'TE BE'!$AB$32*'TE BE'!$X$48</f>
        <v>0</v>
      </c>
      <c r="Y32" s="26">
        <f>SUM($X$32:$X$32)</f>
        <v>0</v>
      </c>
      <c r="Z32" s="26">
        <f>'TE BE'!$Z$32*'TE BE'!$Z$48</f>
        <v>0</v>
      </c>
      <c r="AA32" s="26">
        <f>SUM($Z$32:$Z$32)</f>
        <v>0</v>
      </c>
      <c r="AB32" s="26">
        <f>SUMIF($L$4:$AA$4,"SUBTOTAL",$L$32:$AA$32)</f>
        <v>-10.436496538048495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72</v>
      </c>
      <c r="I33" s="29">
        <f>'MERCADO TE'!$U$30</f>
        <v>0</v>
      </c>
      <c r="J33" s="15"/>
      <c r="L33" s="26">
        <f>'TE BE'!$L$33*'TE BE'!$L$48</f>
        <v>0</v>
      </c>
      <c r="M33" s="26">
        <f>'TE BE'!$M$33*'TE BE'!$M$48</f>
        <v>0</v>
      </c>
      <c r="N33" s="26">
        <f>'TE BE'!$N$33*'TE BE'!$N$48</f>
        <v>0</v>
      </c>
      <c r="O33" s="26">
        <f>'TE BE'!$O$33*'TE BE'!$O$48</f>
        <v>0</v>
      </c>
      <c r="P33" s="26">
        <f>'TE BE'!$P$33*'TE BE'!$P$48</f>
        <v>0</v>
      </c>
      <c r="Q33" s="26">
        <f>SUM($L$33:$P$33)</f>
        <v>0</v>
      </c>
      <c r="R33" s="26">
        <f>'TE BE'!$R$33*'TE BE'!$R$48</f>
        <v>-10.436496538048495</v>
      </c>
      <c r="S33" s="26">
        <f>SUM($R$33:$R$33)</f>
        <v>-10.436496538048495</v>
      </c>
      <c r="T33" s="26">
        <f>'TE BE'!$T$33*'TE BE'!$T$48</f>
        <v>0</v>
      </c>
      <c r="U33" s="26">
        <f>'TE BE'!$U$33*'TE BE'!$U$48</f>
        <v>0</v>
      </c>
      <c r="V33" s="26">
        <f>'TE BE'!$V$33*'TE BE'!$V$48</f>
        <v>0</v>
      </c>
      <c r="W33" s="26">
        <f>SUM($T$33:$V$33)</f>
        <v>0</v>
      </c>
      <c r="X33" s="26">
        <f>'TE BE'!$AB$33*'TE BE'!$X$48</f>
        <v>0</v>
      </c>
      <c r="Y33" s="26">
        <f>SUM($X$33:$X$33)</f>
        <v>0</v>
      </c>
      <c r="Z33" s="26">
        <f>'TE BE'!$Z$33*'TE BE'!$Z$48</f>
        <v>0</v>
      </c>
      <c r="AA33" s="26">
        <f>SUM($Z$33:$Z$33)</f>
        <v>0</v>
      </c>
      <c r="AB33" s="26">
        <f>SUMIF($L$4:$AA$4,"SUBTOTAL",$L$33:$AA$33)</f>
        <v>-10.436496538048495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72</v>
      </c>
      <c r="I34" s="29">
        <f>'MERCADO TE'!$U$31</f>
        <v>0</v>
      </c>
      <c r="J34" s="15"/>
      <c r="L34" s="26">
        <f>'TE BE'!$L$34*'TE BE'!$L$48</f>
        <v>0</v>
      </c>
      <c r="M34" s="26">
        <f>'TE BE'!$M$34*'TE BE'!$M$48</f>
        <v>0</v>
      </c>
      <c r="N34" s="26">
        <f>'TE BE'!$N$34*'TE BE'!$N$48</f>
        <v>0</v>
      </c>
      <c r="O34" s="26">
        <f>'TE BE'!$O$34*'TE BE'!$O$48</f>
        <v>0</v>
      </c>
      <c r="P34" s="26">
        <f>'TE BE'!$P$34*'TE BE'!$P$48</f>
        <v>0</v>
      </c>
      <c r="Q34" s="26">
        <f>SUM($L$34:$P$34)</f>
        <v>0</v>
      </c>
      <c r="R34" s="26">
        <f>'TE BE'!$R$34*'TE BE'!$R$48</f>
        <v>-10.436496538048495</v>
      </c>
      <c r="S34" s="26">
        <f>SUM($R$34:$R$34)</f>
        <v>-10.436496538048495</v>
      </c>
      <c r="T34" s="26">
        <f>'TE BE'!$T$34*'TE BE'!$T$48</f>
        <v>0</v>
      </c>
      <c r="U34" s="26">
        <f>'TE BE'!$U$34*'TE BE'!$U$48</f>
        <v>0</v>
      </c>
      <c r="V34" s="26">
        <f>'TE BE'!$V$34*'TE BE'!$V$48</f>
        <v>0</v>
      </c>
      <c r="W34" s="26">
        <f>SUM($T$34:$V$34)</f>
        <v>0</v>
      </c>
      <c r="X34" s="26">
        <f>'TE BE'!$AB$34*'TE BE'!$X$48</f>
        <v>0</v>
      </c>
      <c r="Y34" s="26">
        <f>SUM($X$34:$X$34)</f>
        <v>0</v>
      </c>
      <c r="Z34" s="26">
        <f>'TE BE'!$Z$34*'TE BE'!$Z$48</f>
        <v>0</v>
      </c>
      <c r="AA34" s="26">
        <f>SUM($Z$34:$Z$34)</f>
        <v>0</v>
      </c>
      <c r="AB34" s="26">
        <f>SUMIF($L$4:$AA$4,"SUBTOTAL",$L$34:$AA$34)</f>
        <v>-10.436496538048495</v>
      </c>
    </row>
    <row r="35" spans="1:28" ht="11.25" customHeight="1" x14ac:dyDescent="0.25">
      <c r="A35" s="99" t="s">
        <v>33</v>
      </c>
      <c r="B35" s="99" t="s">
        <v>71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73</v>
      </c>
      <c r="H35" s="29" t="s">
        <v>72</v>
      </c>
      <c r="I35" s="29">
        <f>'MERCADO TE'!$U$32</f>
        <v>1.0639999999999998</v>
      </c>
      <c r="J35" s="15"/>
      <c r="L35" s="26">
        <f>'TE BE'!$L$35*'TE BE'!$L$48</f>
        <v>0</v>
      </c>
      <c r="M35" s="26">
        <f>'TE BE'!$M$35*'TE BE'!$M$48</f>
        <v>0</v>
      </c>
      <c r="N35" s="26">
        <f>'TE BE'!$N$35*'TE BE'!$N$48</f>
        <v>0</v>
      </c>
      <c r="O35" s="26">
        <f>'TE BE'!$O$35*'TE BE'!$O$48</f>
        <v>0</v>
      </c>
      <c r="P35" s="26">
        <f>'TE BE'!$P$35*'TE BE'!$P$48</f>
        <v>0</v>
      </c>
      <c r="Q35" s="26">
        <f>SUM($L$35:$P$35)</f>
        <v>0</v>
      </c>
      <c r="R35" s="26">
        <f>'TE BE'!$R$35*'TE BE'!$R$48</f>
        <v>-10.436496538048495</v>
      </c>
      <c r="S35" s="26">
        <f>SUM($R$35:$R$35)</f>
        <v>-10.436496538048495</v>
      </c>
      <c r="T35" s="26">
        <f>'TE BE'!$T$35*'TE BE'!$T$48</f>
        <v>0</v>
      </c>
      <c r="U35" s="26">
        <f>'TE BE'!$U$35*'TE BE'!$U$48</f>
        <v>0</v>
      </c>
      <c r="V35" s="26">
        <f>'TE BE'!$V$35*'TE BE'!$V$48</f>
        <v>0</v>
      </c>
      <c r="W35" s="26">
        <f>SUM($T$35:$V$35)</f>
        <v>0</v>
      </c>
      <c r="X35" s="26">
        <f>'TE BE'!$AB$35*'TE BE'!$X$48</f>
        <v>0</v>
      </c>
      <c r="Y35" s="26">
        <f>SUM($X$35:$X$35)</f>
        <v>0</v>
      </c>
      <c r="Z35" s="26">
        <f>'TE BE'!$Z$35*'TE BE'!$Z$48</f>
        <v>0</v>
      </c>
      <c r="AA35" s="26">
        <f>SUM($Z$35:$Z$35)</f>
        <v>0</v>
      </c>
      <c r="AB35" s="26">
        <f>SUMIF($L$4:$AA$4,"SUBTOTAL",$L$35:$AA$35)</f>
        <v>-10.436496538048495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72</v>
      </c>
      <c r="I36" s="29">
        <f>'MERCADO TE'!$U$33</f>
        <v>1.6680000000000006</v>
      </c>
      <c r="J36" s="15"/>
      <c r="L36" s="26">
        <f>'TE BE'!$L$36*'TE BE'!$L$48</f>
        <v>0</v>
      </c>
      <c r="M36" s="26">
        <f>'TE BE'!$M$36*'TE BE'!$M$48</f>
        <v>0</v>
      </c>
      <c r="N36" s="26">
        <f>'TE BE'!$N$36*'TE BE'!$N$48</f>
        <v>0</v>
      </c>
      <c r="O36" s="26">
        <f>'TE BE'!$O$36*'TE BE'!$O$48</f>
        <v>0</v>
      </c>
      <c r="P36" s="26">
        <f>'TE BE'!$P$36*'TE BE'!$P$48</f>
        <v>0</v>
      </c>
      <c r="Q36" s="26">
        <f>SUM($L$36:$P$36)</f>
        <v>0</v>
      </c>
      <c r="R36" s="26">
        <f>'TE BE'!$R$36*'TE BE'!$R$48</f>
        <v>-10.436496538048495</v>
      </c>
      <c r="S36" s="26">
        <f>SUM($R$36:$R$36)</f>
        <v>-10.436496538048495</v>
      </c>
      <c r="T36" s="26">
        <f>'TE BE'!$T$36*'TE BE'!$T$48</f>
        <v>0</v>
      </c>
      <c r="U36" s="26">
        <f>'TE BE'!$U$36*'TE BE'!$U$48</f>
        <v>0</v>
      </c>
      <c r="V36" s="26">
        <f>'TE BE'!$V$36*'TE BE'!$V$48</f>
        <v>0</v>
      </c>
      <c r="W36" s="26">
        <f>SUM($T$36:$V$36)</f>
        <v>0</v>
      </c>
      <c r="X36" s="26">
        <f>'TE BE'!$AB$36*'TE BE'!$X$48</f>
        <v>0</v>
      </c>
      <c r="Y36" s="26">
        <f>SUM($X$36:$X$36)</f>
        <v>0</v>
      </c>
      <c r="Z36" s="26">
        <f>'TE BE'!$Z$36*'TE BE'!$Z$48</f>
        <v>0</v>
      </c>
      <c r="AA36" s="26">
        <f>SUM($Z$36:$Z$36)</f>
        <v>0</v>
      </c>
      <c r="AB36" s="26">
        <f>SUMIF($L$4:$AA$4,"SUBTOTAL",$L$36:$AA$36)</f>
        <v>-10.436496538048495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74</v>
      </c>
      <c r="H37" s="29" t="s">
        <v>72</v>
      </c>
      <c r="I37" s="29">
        <f>'MERCADO TE'!$U$34</f>
        <v>73.304000000000016</v>
      </c>
      <c r="J37" s="15"/>
      <c r="L37" s="26">
        <f>'TE BE'!$L$37*'TE BE'!$L$48</f>
        <v>0</v>
      </c>
      <c r="M37" s="26">
        <f>'TE BE'!$M$37*'TE BE'!$M$48</f>
        <v>0</v>
      </c>
      <c r="N37" s="26">
        <f>'TE BE'!$N$37*'TE BE'!$N$48</f>
        <v>0</v>
      </c>
      <c r="O37" s="26">
        <f>'TE BE'!$O$37*'TE BE'!$O$48</f>
        <v>0</v>
      </c>
      <c r="P37" s="26">
        <f>'TE BE'!$P$37*'TE BE'!$P$48</f>
        <v>0</v>
      </c>
      <c r="Q37" s="26">
        <f>SUM($L$37:$P$37)</f>
        <v>0</v>
      </c>
      <c r="R37" s="26">
        <f>'TE BE'!$R$37*'TE BE'!$R$48</f>
        <v>-10.436496538048495</v>
      </c>
      <c r="S37" s="26">
        <f>SUM($R$37:$R$37)</f>
        <v>-10.436496538048495</v>
      </c>
      <c r="T37" s="26">
        <f>'TE BE'!$T$37*'TE BE'!$T$48</f>
        <v>0</v>
      </c>
      <c r="U37" s="26">
        <f>'TE BE'!$U$37*'TE BE'!$U$48</f>
        <v>0</v>
      </c>
      <c r="V37" s="26">
        <f>'TE BE'!$V$37*'TE BE'!$V$48</f>
        <v>0</v>
      </c>
      <c r="W37" s="26">
        <f>SUM($T$37:$V$37)</f>
        <v>0</v>
      </c>
      <c r="X37" s="26">
        <f>'TE BE'!$AB$37*'TE BE'!$X$48</f>
        <v>0</v>
      </c>
      <c r="Y37" s="26">
        <f>SUM($X$37:$X$37)</f>
        <v>0</v>
      </c>
      <c r="Z37" s="26">
        <f>'TE BE'!$Z$37*'TE BE'!$Z$48</f>
        <v>0</v>
      </c>
      <c r="AA37" s="26">
        <f>SUM($Z$37:$Z$37)</f>
        <v>0</v>
      </c>
      <c r="AB37" s="26">
        <f>SUMIF($L$4:$AA$4,"SUBTOTAL",$L$37:$AA$37)</f>
        <v>-10.436496538048495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72</v>
      </c>
      <c r="I38" s="29">
        <f>'MERCADO TE'!$U$35</f>
        <v>14591.943000000003</v>
      </c>
      <c r="J38" s="15"/>
      <c r="L38" s="26">
        <f>'TE BE'!$L$38*'TE BE'!$L$48</f>
        <v>0</v>
      </c>
      <c r="M38" s="26">
        <f>'TE BE'!$M$38*'TE BE'!$M$48</f>
        <v>0</v>
      </c>
      <c r="N38" s="26">
        <f>'TE BE'!$N$38*'TE BE'!$N$48</f>
        <v>0</v>
      </c>
      <c r="O38" s="26">
        <f>'TE BE'!$O$38*'TE BE'!$O$48</f>
        <v>0</v>
      </c>
      <c r="P38" s="26">
        <f>'TE BE'!$P$38*'TE BE'!$P$48</f>
        <v>0</v>
      </c>
      <c r="Q38" s="26">
        <f>SUM($L$38:$P$38)</f>
        <v>0</v>
      </c>
      <c r="R38" s="26">
        <f>'TE BE'!$R$38*'TE BE'!$R$48</f>
        <v>-10.436496538048495</v>
      </c>
      <c r="S38" s="26">
        <f>SUM($R$38:$R$38)</f>
        <v>-10.436496538048495</v>
      </c>
      <c r="T38" s="26">
        <f>'TE BE'!$T$38*'TE BE'!$T$48</f>
        <v>0</v>
      </c>
      <c r="U38" s="26">
        <f>'TE BE'!$U$38*'TE BE'!$U$48</f>
        <v>0</v>
      </c>
      <c r="V38" s="26">
        <f>'TE BE'!$V$38*'TE BE'!$V$48</f>
        <v>0</v>
      </c>
      <c r="W38" s="26">
        <f>SUM($T$38:$V$38)</f>
        <v>0</v>
      </c>
      <c r="X38" s="26">
        <f>'TE BE'!$AB$38*'TE BE'!$X$48</f>
        <v>0</v>
      </c>
      <c r="Y38" s="26">
        <f>SUM($X$38:$X$38)</f>
        <v>0</v>
      </c>
      <c r="Z38" s="26">
        <f>'TE BE'!$Z$38*'TE BE'!$Z$48</f>
        <v>0</v>
      </c>
      <c r="AA38" s="26">
        <f>SUM($Z$38:$Z$38)</f>
        <v>0</v>
      </c>
      <c r="AB38" s="26">
        <f>SUMIF($L$4:$AA$4,"SUBTOTAL",$L$38:$AA$38)</f>
        <v>-10.436496538048495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72</v>
      </c>
      <c r="I39" s="29">
        <f>'MERCADO TE'!$U$36</f>
        <v>0</v>
      </c>
      <c r="J39" s="15"/>
      <c r="L39" s="26">
        <f>'TE BE'!$L$39*'TE BE'!$L$48</f>
        <v>0</v>
      </c>
      <c r="M39" s="26">
        <f>'TE BE'!$M$39*'TE BE'!$M$48</f>
        <v>0</v>
      </c>
      <c r="N39" s="26">
        <f>'TE BE'!$N$39*'TE BE'!$N$48</f>
        <v>0</v>
      </c>
      <c r="O39" s="26">
        <f>'TE BE'!$O$39*'TE BE'!$O$48</f>
        <v>0</v>
      </c>
      <c r="P39" s="26">
        <f>'TE BE'!$P$39*'TE BE'!$P$48</f>
        <v>0</v>
      </c>
      <c r="Q39" s="26">
        <f>SUM($L$39:$P$39)</f>
        <v>0</v>
      </c>
      <c r="R39" s="26">
        <f>'TE BE'!$R$39*'TE BE'!$R$48</f>
        <v>-10.436496538048495</v>
      </c>
      <c r="S39" s="26">
        <f>SUM($R$39:$R$39)</f>
        <v>-10.436496538048495</v>
      </c>
      <c r="T39" s="26">
        <f>'TE BE'!$T$39*'TE BE'!$T$48</f>
        <v>0</v>
      </c>
      <c r="U39" s="26">
        <f>'TE BE'!$U$39*'TE BE'!$U$48</f>
        <v>0</v>
      </c>
      <c r="V39" s="26">
        <f>'TE BE'!$V$39*'TE BE'!$V$48</f>
        <v>0</v>
      </c>
      <c r="W39" s="26">
        <f>SUM($T$39:$V$39)</f>
        <v>0</v>
      </c>
      <c r="X39" s="26">
        <f>'TE BE'!$AB$39*'TE BE'!$X$48</f>
        <v>0</v>
      </c>
      <c r="Y39" s="26">
        <f>SUM($X$39:$X$39)</f>
        <v>0</v>
      </c>
      <c r="Z39" s="26">
        <f>'TE BE'!$Z$39*'TE BE'!$Z$48</f>
        <v>0</v>
      </c>
      <c r="AA39" s="26">
        <f>SUM($Z$39:$Z$39)</f>
        <v>0</v>
      </c>
      <c r="AB39" s="26">
        <f>SUMIF($L$4:$AA$4,"SUBTOTAL",$L$39:$AA$39)</f>
        <v>-10.436496538048495</v>
      </c>
    </row>
    <row r="40" spans="1:28" ht="11.25" customHeight="1" x14ac:dyDescent="0.25">
      <c r="A40" s="99" t="s">
        <v>46</v>
      </c>
      <c r="B40" s="99" t="s">
        <v>85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78</v>
      </c>
      <c r="H40" s="29" t="s">
        <v>72</v>
      </c>
      <c r="I40" s="29">
        <f>'MERCADO TE'!$U$37</f>
        <v>5137.0619999999999</v>
      </c>
      <c r="J40" s="15"/>
      <c r="L40" s="26">
        <f>'TE BE'!$L$40*'TE BE'!$L$48</f>
        <v>0</v>
      </c>
      <c r="M40" s="26">
        <f>'TE BE'!$M$40*'TE BE'!$M$48</f>
        <v>0</v>
      </c>
      <c r="N40" s="26">
        <f>'TE BE'!$N$40*'TE BE'!$N$48</f>
        <v>0</v>
      </c>
      <c r="O40" s="26">
        <f>'TE BE'!$O$40*'TE BE'!$O$48</f>
        <v>0</v>
      </c>
      <c r="P40" s="26">
        <f>'TE BE'!$P$40*'TE BE'!$P$48</f>
        <v>0</v>
      </c>
      <c r="Q40" s="26">
        <f>SUM($L$40:$P$40)</f>
        <v>0</v>
      </c>
      <c r="R40" s="26">
        <f>'TE BE'!$R$40*'TE BE'!$R$48</f>
        <v>-5.7400730959266726</v>
      </c>
      <c r="S40" s="26">
        <f>SUM($R$40:$R$40)</f>
        <v>-5.7400730959266726</v>
      </c>
      <c r="T40" s="26">
        <f>'TE BE'!$T$40*'TE BE'!$T$48</f>
        <v>0</v>
      </c>
      <c r="U40" s="26">
        <f>'TE BE'!$U$40*'TE BE'!$U$48</f>
        <v>0</v>
      </c>
      <c r="V40" s="26">
        <f>'TE BE'!$V$40*'TE BE'!$V$48</f>
        <v>0</v>
      </c>
      <c r="W40" s="26">
        <f>SUM($T$40:$V$40)</f>
        <v>0</v>
      </c>
      <c r="X40" s="26">
        <f>'TE BE'!$AB$40*'TE BE'!$X$48</f>
        <v>0</v>
      </c>
      <c r="Y40" s="26">
        <f>SUM($X$40:$X$40)</f>
        <v>0</v>
      </c>
      <c r="Z40" s="26">
        <f>'TE BE'!$Z$40*'TE BE'!$Z$48</f>
        <v>0</v>
      </c>
      <c r="AA40" s="26">
        <f>SUM($Z$40:$Z$40)</f>
        <v>0</v>
      </c>
      <c r="AB40" s="26">
        <f>SUMIF($L$4:$AA$4,"SUBTOTAL",$L$40:$AA$40)</f>
        <v>-5.7400730959266726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72</v>
      </c>
      <c r="I41" s="29">
        <f>'MERCADO TE'!$U$38</f>
        <v>0</v>
      </c>
      <c r="J41" s="15"/>
      <c r="L41" s="26">
        <f>'TE BE'!$L$41*'TE BE'!$L$48</f>
        <v>0</v>
      </c>
      <c r="M41" s="26">
        <f>'TE BE'!$M$41*'TE BE'!$M$48</f>
        <v>0</v>
      </c>
      <c r="N41" s="26">
        <f>'TE BE'!$N$41*'TE BE'!$N$48</f>
        <v>0</v>
      </c>
      <c r="O41" s="26">
        <f>'TE BE'!$O$41*'TE BE'!$O$48</f>
        <v>0</v>
      </c>
      <c r="P41" s="26">
        <f>'TE BE'!$P$41*'TE BE'!$P$48</f>
        <v>0</v>
      </c>
      <c r="Q41" s="26">
        <f>SUM($L$41:$P$41)</f>
        <v>0</v>
      </c>
      <c r="R41" s="26">
        <f>'TE BE'!$R$41*'TE BE'!$R$48</f>
        <v>-6.261897922829097</v>
      </c>
      <c r="S41" s="26">
        <f>SUM($R$41:$R$41)</f>
        <v>-6.261897922829097</v>
      </c>
      <c r="T41" s="26">
        <f>'TE BE'!$T$41*'TE BE'!$T$48</f>
        <v>0</v>
      </c>
      <c r="U41" s="26">
        <f>'TE BE'!$U$41*'TE BE'!$U$48</f>
        <v>0</v>
      </c>
      <c r="V41" s="26">
        <f>'TE BE'!$V$41*'TE BE'!$V$48</f>
        <v>0</v>
      </c>
      <c r="W41" s="26">
        <f>SUM($T$41:$V$41)</f>
        <v>0</v>
      </c>
      <c r="X41" s="26">
        <f>'TE BE'!$AB$41*'TE BE'!$X$48</f>
        <v>0</v>
      </c>
      <c r="Y41" s="26">
        <f>SUM($X$41:$X$41)</f>
        <v>0</v>
      </c>
      <c r="Z41" s="26">
        <f>'TE BE'!$Z$41*'TE BE'!$Z$48</f>
        <v>0</v>
      </c>
      <c r="AA41" s="26">
        <f>SUM($Z$41:$Z$41)</f>
        <v>0</v>
      </c>
      <c r="AB41" s="26">
        <f>SUMIF($L$4:$AA$4,"SUBTOTAL",$L$41:$AA$41)</f>
        <v>-6.261897922829097</v>
      </c>
    </row>
    <row r="43" spans="1:28" ht="11.25" customHeight="1" x14ac:dyDescent="0.25">
      <c r="K43" s="31" t="s">
        <v>569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-1488091.4083301174</v>
      </c>
      <c r="S43" s="26">
        <f t="shared" si="0"/>
        <v>-1488091.4083301174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-1488091.4083301174</v>
      </c>
    </row>
    <row r="44" spans="1:28" ht="11.25" customHeight="1" x14ac:dyDescent="0.25">
      <c r="K44" s="31" t="s">
        <v>488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20968479.437533595</v>
      </c>
      <c r="S44" s="26">
        <f>CUSTOS!$D$37</f>
        <v>20968479.437533595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20968479.437533595</v>
      </c>
    </row>
    <row r="45" spans="1:28" ht="11.25" customHeight="1" x14ac:dyDescent="0.25">
      <c r="K45" s="31" t="s">
        <v>489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-1488091.4083301171</v>
      </c>
      <c r="S45" s="26">
        <f>CUSTOS!$E$37</f>
        <v>-1488091.4083301171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-1488091.4083301171</v>
      </c>
    </row>
    <row r="46" spans="1:28" ht="11.25" customHeight="1" x14ac:dyDescent="0.25">
      <c r="K46" s="31" t="s">
        <v>490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570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0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565</v>
      </c>
      <c r="L48" s="26">
        <f>IF(L44&lt;&gt;0,L46/L44,0)</f>
        <v>0</v>
      </c>
      <c r="M48" s="26">
        <f>IF(M44&lt;&gt;0,M46/M44,0)</f>
        <v>0</v>
      </c>
      <c r="N48" s="26">
        <f>IF(N44&lt;&gt;0,N46/N44,0)</f>
        <v>0</v>
      </c>
      <c r="O48" s="26">
        <f>IF(O44&lt;&gt;0,O46/O44,0)</f>
        <v>0</v>
      </c>
      <c r="P48" s="26">
        <f>IF(P44&lt;&gt;0,P46/P44,0)</f>
        <v>0</v>
      </c>
      <c r="Q48" s="26"/>
      <c r="R48" s="26">
        <f>IF(R44&lt;&gt;0,R46/R44,0)</f>
        <v>0</v>
      </c>
      <c r="S48" s="26"/>
      <c r="T48" s="26">
        <f>IF(T44&lt;&gt;0,T46/T44,0)</f>
        <v>0</v>
      </c>
      <c r="U48" s="26">
        <f>IF(U44&lt;&gt;0,U46/U44,0)</f>
        <v>0</v>
      </c>
      <c r="V48" s="26">
        <f>IF(V44&lt;&gt;0,V46/V44,0)</f>
        <v>0</v>
      </c>
      <c r="W48" s="26"/>
      <c r="X48" s="26">
        <f>IF($AB44&lt;&gt;0,X46/($AB44-SUM('TR TE'!$L47:'TR TE'!$AA47)*0),0)</f>
        <v>0</v>
      </c>
      <c r="Y48" s="26"/>
      <c r="Z48" s="26">
        <f>IF(Z44&lt;&gt;0,Z46/Z44,0)</f>
        <v>0</v>
      </c>
      <c r="AA48" s="26"/>
      <c r="AB48" s="26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08" priority="33" operator="notEqual">
      <formula>$L$45</formula>
    </cfRule>
    <cfRule type="cellIs" dxfId="707" priority="34" operator="equal">
      <formula>$L$45</formula>
    </cfRule>
  </conditionalFormatting>
  <conditionalFormatting sqref="M43">
    <cfRule type="cellIs" dxfId="706" priority="31" operator="notEqual">
      <formula>$M$45</formula>
    </cfRule>
    <cfRule type="cellIs" dxfId="705" priority="32" operator="equal">
      <formula>$M$45</formula>
    </cfRule>
  </conditionalFormatting>
  <conditionalFormatting sqref="N43">
    <cfRule type="cellIs" dxfId="704" priority="29" operator="notEqual">
      <formula>$N$45</formula>
    </cfRule>
    <cfRule type="cellIs" dxfId="703" priority="30" operator="equal">
      <formula>$N$45</formula>
    </cfRule>
  </conditionalFormatting>
  <conditionalFormatting sqref="O43">
    <cfRule type="cellIs" dxfId="702" priority="27" operator="notEqual">
      <formula>$O$45</formula>
    </cfRule>
    <cfRule type="cellIs" dxfId="701" priority="28" operator="equal">
      <formula>$O$45</formula>
    </cfRule>
  </conditionalFormatting>
  <conditionalFormatting sqref="P43">
    <cfRule type="cellIs" dxfId="700" priority="25" operator="notEqual">
      <formula>$P$45</formula>
    </cfRule>
    <cfRule type="cellIs" dxfId="699" priority="26" operator="equal">
      <formula>$P$45</formula>
    </cfRule>
  </conditionalFormatting>
  <conditionalFormatting sqref="Q43">
    <cfRule type="cellIs" dxfId="698" priority="23" operator="notEqual">
      <formula>$Q$45</formula>
    </cfRule>
    <cfRule type="cellIs" dxfId="697" priority="24" operator="equal">
      <formula>$Q$45</formula>
    </cfRule>
  </conditionalFormatting>
  <conditionalFormatting sqref="R43">
    <cfRule type="cellIs" dxfId="696" priority="21" operator="notEqual">
      <formula>$R$45</formula>
    </cfRule>
    <cfRule type="cellIs" dxfId="695" priority="22" operator="equal">
      <formula>$R$45</formula>
    </cfRule>
  </conditionalFormatting>
  <conditionalFormatting sqref="S43">
    <cfRule type="cellIs" dxfId="694" priority="19" operator="notEqual">
      <formula>$S$45</formula>
    </cfRule>
    <cfRule type="cellIs" dxfId="693" priority="20" operator="equal">
      <formula>$S$45</formula>
    </cfRule>
  </conditionalFormatting>
  <conditionalFormatting sqref="T43">
    <cfRule type="cellIs" dxfId="692" priority="17" operator="notEqual">
      <formula>$T$45</formula>
    </cfRule>
    <cfRule type="cellIs" dxfId="691" priority="18" operator="equal">
      <formula>$T$45</formula>
    </cfRule>
  </conditionalFormatting>
  <conditionalFormatting sqref="U43">
    <cfRule type="cellIs" dxfId="690" priority="15" operator="notEqual">
      <formula>$U$45</formula>
    </cfRule>
    <cfRule type="cellIs" dxfId="689" priority="16" operator="equal">
      <formula>$U$45</formula>
    </cfRule>
  </conditionalFormatting>
  <conditionalFormatting sqref="V43">
    <cfRule type="cellIs" dxfId="688" priority="13" operator="notEqual">
      <formula>$V$45</formula>
    </cfRule>
    <cfRule type="cellIs" dxfId="687" priority="14" operator="equal">
      <formula>$V$45</formula>
    </cfRule>
  </conditionalFormatting>
  <conditionalFormatting sqref="W43">
    <cfRule type="cellIs" dxfId="686" priority="11" operator="notEqual">
      <formula>$W$45</formula>
    </cfRule>
    <cfRule type="cellIs" dxfId="685" priority="12" operator="equal">
      <formula>$W$45</formula>
    </cfRule>
  </conditionalFormatting>
  <conditionalFormatting sqref="X43">
    <cfRule type="cellIs" dxfId="684" priority="9" operator="notEqual">
      <formula>$X$45</formula>
    </cfRule>
    <cfRule type="cellIs" dxfId="683" priority="10" operator="equal">
      <formula>$X$45</formula>
    </cfRule>
  </conditionalFormatting>
  <conditionalFormatting sqref="Y43">
    <cfRule type="cellIs" dxfId="682" priority="7" operator="notEqual">
      <formula>$Y$45</formula>
    </cfRule>
    <cfRule type="cellIs" dxfId="681" priority="8" operator="equal">
      <formula>$Y$45</formula>
    </cfRule>
  </conditionalFormatting>
  <conditionalFormatting sqref="Z43">
    <cfRule type="cellIs" dxfId="680" priority="5" operator="notEqual">
      <formula>$Z$45</formula>
    </cfRule>
    <cfRule type="cellIs" dxfId="679" priority="6" operator="equal">
      <formula>$Z$45</formula>
    </cfRule>
  </conditionalFormatting>
  <conditionalFormatting sqref="AA43">
    <cfRule type="cellIs" dxfId="678" priority="3" operator="notEqual">
      <formula>$AA$45</formula>
    </cfRule>
    <cfRule type="cellIs" dxfId="677" priority="4" operator="equal">
      <formula>$AA$45</formula>
    </cfRule>
  </conditionalFormatting>
  <conditionalFormatting sqref="AB43">
    <cfRule type="cellIs" dxfId="676" priority="1" operator="notEqual">
      <formula>$AB$45</formula>
    </cfRule>
    <cfRule type="cellIs" dxfId="67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8E5B-2A61-45ED-8C8A-CB99D949A4B9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62</v>
      </c>
      <c r="B1" s="100" t="s">
        <v>63</v>
      </c>
      <c r="C1" s="100" t="s">
        <v>64</v>
      </c>
      <c r="D1" s="100" t="s">
        <v>65</v>
      </c>
      <c r="E1" s="100" t="s">
        <v>66</v>
      </c>
      <c r="F1" s="100" t="s">
        <v>15</v>
      </c>
      <c r="G1" s="100" t="s">
        <v>68</v>
      </c>
      <c r="H1" s="100" t="s">
        <v>69</v>
      </c>
      <c r="I1" s="100" t="s">
        <v>547</v>
      </c>
      <c r="J1" s="85"/>
      <c r="L1" s="101" t="s">
        <v>575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474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447</v>
      </c>
      <c r="M3" s="101"/>
      <c r="N3" s="101"/>
      <c r="O3" s="101"/>
      <c r="P3" s="101"/>
      <c r="Q3" s="101"/>
      <c r="R3" s="101" t="s">
        <v>478</v>
      </c>
      <c r="S3" s="101"/>
      <c r="T3" s="101" t="s">
        <v>456</v>
      </c>
      <c r="U3" s="101"/>
      <c r="V3" s="101"/>
      <c r="W3" s="101"/>
      <c r="X3" s="101" t="s">
        <v>466</v>
      </c>
      <c r="Y3" s="101"/>
      <c r="Z3" s="101" t="s">
        <v>469</v>
      </c>
      <c r="AA3" s="101"/>
      <c r="AB3" s="101" t="s">
        <v>455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449</v>
      </c>
      <c r="M4" s="30" t="s">
        <v>475</v>
      </c>
      <c r="N4" s="30" t="s">
        <v>476</v>
      </c>
      <c r="O4" s="30" t="s">
        <v>535</v>
      </c>
      <c r="P4" s="30" t="s">
        <v>477</v>
      </c>
      <c r="Q4" s="30" t="s">
        <v>455</v>
      </c>
      <c r="R4" s="30" t="s">
        <v>479</v>
      </c>
      <c r="S4" s="30" t="s">
        <v>455</v>
      </c>
      <c r="T4" s="30" t="s">
        <v>480</v>
      </c>
      <c r="U4" s="30" t="s">
        <v>481</v>
      </c>
      <c r="V4" s="30" t="s">
        <v>482</v>
      </c>
      <c r="W4" s="30" t="s">
        <v>455</v>
      </c>
      <c r="X4" s="30" t="s">
        <v>467</v>
      </c>
      <c r="Y4" s="30" t="s">
        <v>455</v>
      </c>
      <c r="Z4" s="30" t="s">
        <v>483</v>
      </c>
      <c r="AA4" s="30" t="s">
        <v>455</v>
      </c>
      <c r="AB4" s="102"/>
    </row>
    <row r="5" spans="1:28" ht="11.25" customHeight="1" x14ac:dyDescent="0.25">
      <c r="A5" s="99" t="s">
        <v>35</v>
      </c>
      <c r="B5" s="99" t="s">
        <v>71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73</v>
      </c>
      <c r="H5" s="29" t="s">
        <v>72</v>
      </c>
      <c r="I5" s="29">
        <f>'MERCADO TE'!$U$2</f>
        <v>1509.6429999999996</v>
      </c>
      <c r="J5" s="15"/>
      <c r="L5" s="26">
        <f>'TE BE'!$L$5*'TE BF'!$L$48</f>
        <v>0</v>
      </c>
      <c r="M5" s="26">
        <f>'TE BE'!$M$5*'TE BF'!$M$48</f>
        <v>0</v>
      </c>
      <c r="N5" s="26">
        <f>'TE BE'!$N$5*'TE BF'!$N$48</f>
        <v>0</v>
      </c>
      <c r="O5" s="26">
        <f>'TE BE'!$O$5*'TE BF'!$O$48</f>
        <v>0</v>
      </c>
      <c r="P5" s="26">
        <f>'TE BE'!$P$5*'TE BF'!$P$48</f>
        <v>0</v>
      </c>
      <c r="Q5" s="26">
        <f>SUM($L$5:$P$5)</f>
        <v>0</v>
      </c>
      <c r="R5" s="26">
        <f>'TE BE'!$R$5*'TE BF'!$R$48</f>
        <v>0</v>
      </c>
      <c r="S5" s="26">
        <f>SUM($R$5:$R$5)</f>
        <v>0</v>
      </c>
      <c r="T5" s="26">
        <f>'TE BE'!$T$5*'TE BF'!$T$48</f>
        <v>0</v>
      </c>
      <c r="U5" s="26">
        <f>'TE BE'!$U$5*'TE BF'!$U$48</f>
        <v>0</v>
      </c>
      <c r="V5" s="26">
        <f>'TE BE'!$V$5*'TE BF'!$V$48</f>
        <v>0</v>
      </c>
      <c r="W5" s="26">
        <f>SUM($T$5:$V$5)</f>
        <v>0</v>
      </c>
      <c r="X5" s="26">
        <f>'TE BE'!$AB$5*'TE BF'!$X$48</f>
        <v>0</v>
      </c>
      <c r="Y5" s="26">
        <f>SUM($X$5:$X$5)</f>
        <v>0</v>
      </c>
      <c r="Z5" s="26">
        <f>'TE BE'!$Z$5*'TE BF'!$Z$48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74</v>
      </c>
      <c r="H6" s="29" t="s">
        <v>72</v>
      </c>
      <c r="I6" s="29">
        <f>'MERCADO TE'!$U$3</f>
        <v>88874.944999999992</v>
      </c>
      <c r="J6" s="15"/>
      <c r="L6" s="26">
        <f>'TE BE'!$L$6*'TE BF'!$L$48</f>
        <v>0</v>
      </c>
      <c r="M6" s="26">
        <f>'TE BE'!$M$6*'TE BF'!$M$48</f>
        <v>0</v>
      </c>
      <c r="N6" s="26">
        <f>'TE BE'!$N$6*'TE BF'!$N$48</f>
        <v>0</v>
      </c>
      <c r="O6" s="26">
        <f>'TE BE'!$O$6*'TE BF'!$O$48</f>
        <v>0</v>
      </c>
      <c r="P6" s="26">
        <f>'TE BE'!$P$6*'TE BF'!$P$48</f>
        <v>0</v>
      </c>
      <c r="Q6" s="26">
        <f>SUM($L$6:$P$6)</f>
        <v>0</v>
      </c>
      <c r="R6" s="26">
        <f>'TE BE'!$R$6*'TE BF'!$R$48</f>
        <v>0</v>
      </c>
      <c r="S6" s="26">
        <f>SUM($R$6:$R$6)</f>
        <v>0</v>
      </c>
      <c r="T6" s="26">
        <f>'TE BE'!$T$6*'TE BF'!$T$48</f>
        <v>0</v>
      </c>
      <c r="U6" s="26">
        <f>'TE BE'!$U$6*'TE BF'!$U$48</f>
        <v>0</v>
      </c>
      <c r="V6" s="26">
        <f>'TE BE'!$V$6*'TE BF'!$V$48</f>
        <v>0</v>
      </c>
      <c r="W6" s="26">
        <f>SUM($T$6:$V$6)</f>
        <v>0</v>
      </c>
      <c r="X6" s="26">
        <f>'TE BE'!$AB$6*'TE BF'!$X$48</f>
        <v>0</v>
      </c>
      <c r="Y6" s="26">
        <f>SUM($X$6:$X$6)</f>
        <v>0</v>
      </c>
      <c r="Z6" s="26">
        <f>'TE BE'!$Z$6*'TE BF'!$Z$48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99" t="s">
        <v>22</v>
      </c>
      <c r="B7" s="99" t="s">
        <v>71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'TE BE'!$L$7*'TE BF'!$L$48</f>
        <v>0</v>
      </c>
      <c r="M7" s="26">
        <f>'TE BE'!$M$7*'TE BF'!$M$48</f>
        <v>0</v>
      </c>
      <c r="N7" s="26">
        <f>'TE BE'!$N$7*'TE BF'!$N$48</f>
        <v>0</v>
      </c>
      <c r="O7" s="26">
        <f>'TE BE'!$O$7*'TE BF'!$O$48</f>
        <v>0</v>
      </c>
      <c r="P7" s="26">
        <f>'TE BE'!$P$7*'TE BF'!$P$48</f>
        <v>0</v>
      </c>
      <c r="Q7" s="26">
        <f>SUM($L$7:$P$7)</f>
        <v>0</v>
      </c>
      <c r="R7" s="26">
        <f>'TE BE'!$R$7*'TE BF'!$R$48</f>
        <v>0</v>
      </c>
      <c r="S7" s="26">
        <f>SUM($R$7:$R$7)</f>
        <v>0</v>
      </c>
      <c r="T7" s="26">
        <f>'TE BE'!$T$7*'TE BF'!$T$48</f>
        <v>0</v>
      </c>
      <c r="U7" s="26">
        <f>'TE BE'!$U$7*'TE BF'!$U$48</f>
        <v>0</v>
      </c>
      <c r="V7" s="26">
        <f>'TE BE'!$V$7*'TE BF'!$V$48</f>
        <v>0</v>
      </c>
      <c r="W7" s="26">
        <f>SUM($T$7:$V$7)</f>
        <v>0</v>
      </c>
      <c r="X7" s="26">
        <f>'TE BE'!$AB$7*'TE BF'!$X$48</f>
        <v>0</v>
      </c>
      <c r="Y7" s="26">
        <f>SUM($X$7:$X$7)</f>
        <v>0</v>
      </c>
      <c r="Z7" s="26">
        <f>'TE BE'!$Z$7*'TE BF'!$Z$48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72</v>
      </c>
      <c r="I8" s="29">
        <f>'MERCADO TE'!$U$5</f>
        <v>0</v>
      </c>
      <c r="J8" s="15"/>
      <c r="L8" s="26">
        <f>'TE BE'!$L$8*'TE BF'!$L$48</f>
        <v>0</v>
      </c>
      <c r="M8" s="26">
        <f>'TE BE'!$M$8*'TE BF'!$M$48</f>
        <v>0</v>
      </c>
      <c r="N8" s="26">
        <f>'TE BE'!$N$8*'TE BF'!$N$48</f>
        <v>0</v>
      </c>
      <c r="O8" s="26">
        <f>'TE BE'!$O$8*'TE BF'!$O$48</f>
        <v>0</v>
      </c>
      <c r="P8" s="26">
        <f>'TE BE'!$P$8*'TE BF'!$P$48</f>
        <v>0</v>
      </c>
      <c r="Q8" s="26">
        <f>SUM($L$8:$P$8)</f>
        <v>0</v>
      </c>
      <c r="R8" s="26">
        <f>'TE BE'!$R$8*'TE BF'!$R$48</f>
        <v>0</v>
      </c>
      <c r="S8" s="26">
        <f>SUM($R$8:$R$8)</f>
        <v>0</v>
      </c>
      <c r="T8" s="26">
        <f>'TE BE'!$T$8*'TE BF'!$T$48</f>
        <v>0</v>
      </c>
      <c r="U8" s="26">
        <f>'TE BE'!$U$8*'TE BF'!$U$48</f>
        <v>0</v>
      </c>
      <c r="V8" s="26">
        <f>'TE BE'!$V$8*'TE BF'!$V$48</f>
        <v>0</v>
      </c>
      <c r="W8" s="26">
        <f>SUM($T$8:$V$8)</f>
        <v>0</v>
      </c>
      <c r="X8" s="26">
        <f>'TE BE'!$AB$8*'TE BF'!$X$48</f>
        <v>0</v>
      </c>
      <c r="Y8" s="26">
        <f>SUM($X$8:$X$8)</f>
        <v>0</v>
      </c>
      <c r="Z8" s="26">
        <f>'TE BE'!$Z$8*'TE BF'!$Z$48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74</v>
      </c>
      <c r="H9" s="29" t="s">
        <v>72</v>
      </c>
      <c r="I9" s="29">
        <f>'MERCADO TE'!$U$6</f>
        <v>0</v>
      </c>
      <c r="J9" s="15"/>
      <c r="L9" s="26">
        <f>'TE BE'!$L$9*'TE BF'!$L$48</f>
        <v>0</v>
      </c>
      <c r="M9" s="26">
        <f>'TE BE'!$M$9*'TE BF'!$M$48</f>
        <v>0</v>
      </c>
      <c r="N9" s="26">
        <f>'TE BE'!$N$9*'TE BF'!$N$48</f>
        <v>0</v>
      </c>
      <c r="O9" s="26">
        <f>'TE BE'!$O$9*'TE BF'!$O$48</f>
        <v>0</v>
      </c>
      <c r="P9" s="26">
        <f>'TE BE'!$P$9*'TE BF'!$P$48</f>
        <v>0</v>
      </c>
      <c r="Q9" s="26">
        <f>SUM($L$9:$P$9)</f>
        <v>0</v>
      </c>
      <c r="R9" s="26">
        <f>'TE BE'!$R$9*'TE BF'!$R$48</f>
        <v>0</v>
      </c>
      <c r="S9" s="26">
        <f>SUM($R$9:$R$9)</f>
        <v>0</v>
      </c>
      <c r="T9" s="26">
        <f>'TE BE'!$T$9*'TE BF'!$T$48</f>
        <v>0</v>
      </c>
      <c r="U9" s="26">
        <f>'TE BE'!$U$9*'TE BF'!$U$48</f>
        <v>0</v>
      </c>
      <c r="V9" s="26">
        <f>'TE BE'!$V$9*'TE BF'!$V$48</f>
        <v>0</v>
      </c>
      <c r="W9" s="26">
        <f>SUM($T$9:$V$9)</f>
        <v>0</v>
      </c>
      <c r="X9" s="26">
        <f>'TE BE'!$AB$9*'TE BF'!$X$48</f>
        <v>0</v>
      </c>
      <c r="Y9" s="26">
        <f>SUM($X$9:$X$9)</f>
        <v>0</v>
      </c>
      <c r="Z9" s="26">
        <f>'TE BE'!$Z$9*'TE BF'!$Z$48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72</v>
      </c>
      <c r="I10" s="29">
        <f>'MERCADO TE'!$U$7</f>
        <v>30172.235000000001</v>
      </c>
      <c r="J10" s="15"/>
      <c r="L10" s="26">
        <f>'TE BE'!$L$10*'TE BF'!$L$48</f>
        <v>0</v>
      </c>
      <c r="M10" s="26">
        <f>'TE BE'!$M$10*'TE BF'!$M$48</f>
        <v>0</v>
      </c>
      <c r="N10" s="26">
        <f>'TE BE'!$N$10*'TE BF'!$N$48</f>
        <v>0</v>
      </c>
      <c r="O10" s="26">
        <f>'TE BE'!$O$10*'TE BF'!$O$48</f>
        <v>0</v>
      </c>
      <c r="P10" s="26">
        <f>'TE BE'!$P$10*'TE BF'!$P$48</f>
        <v>0</v>
      </c>
      <c r="Q10" s="26">
        <f>SUM($L$10:$P$10)</f>
        <v>0</v>
      </c>
      <c r="R10" s="26">
        <f>'TE BE'!$R$10*'TE BF'!$R$48</f>
        <v>0</v>
      </c>
      <c r="S10" s="26">
        <f>SUM($R$10:$R$10)</f>
        <v>0</v>
      </c>
      <c r="T10" s="26">
        <f>'TE BE'!$T$10*'TE BF'!$T$48</f>
        <v>0</v>
      </c>
      <c r="U10" s="26">
        <f>'TE BE'!$U$10*'TE BF'!$U$48</f>
        <v>0</v>
      </c>
      <c r="V10" s="26">
        <f>'TE BE'!$V$10*'TE BF'!$V$48</f>
        <v>0</v>
      </c>
      <c r="W10" s="26">
        <f>SUM($T$10:$V$10)</f>
        <v>0</v>
      </c>
      <c r="X10" s="26">
        <f>'TE BE'!$AB$10*'TE BF'!$X$48</f>
        <v>0</v>
      </c>
      <c r="Y10" s="26">
        <f>SUM($X$10:$X$10)</f>
        <v>0</v>
      </c>
      <c r="Z10" s="26">
        <f>'TE BE'!$Z$10*'TE BF'!$Z$48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72</v>
      </c>
      <c r="I11" s="29">
        <f>'MERCADO TE'!$U$8</f>
        <v>191.77800000000005</v>
      </c>
      <c r="J11" s="15"/>
      <c r="L11" s="26">
        <f>'TE BE'!$L$11*'TE BF'!$L$48</f>
        <v>0</v>
      </c>
      <c r="M11" s="26">
        <f>'TE BE'!$M$11*'TE BF'!$M$48</f>
        <v>0</v>
      </c>
      <c r="N11" s="26">
        <f>'TE BE'!$N$11*'TE BF'!$N$48</f>
        <v>0</v>
      </c>
      <c r="O11" s="26">
        <f>'TE BE'!$O$11*'TE BF'!$O$48</f>
        <v>0</v>
      </c>
      <c r="P11" s="26">
        <f>'TE BE'!$P$11*'TE BF'!$P$48</f>
        <v>0</v>
      </c>
      <c r="Q11" s="26">
        <f>SUM($L$11:$P$11)</f>
        <v>0</v>
      </c>
      <c r="R11" s="26">
        <f>'TE BE'!$R$11*'TE BF'!$R$48</f>
        <v>0</v>
      </c>
      <c r="S11" s="26">
        <f>SUM($R$11:$R$11)</f>
        <v>0</v>
      </c>
      <c r="T11" s="26">
        <f>'TE BE'!$T$11*'TE BF'!$T$48</f>
        <v>0</v>
      </c>
      <c r="U11" s="26">
        <f>'TE BE'!$U$11*'TE BF'!$U$48</f>
        <v>0</v>
      </c>
      <c r="V11" s="26">
        <f>'TE BE'!$V$11*'TE BF'!$V$48</f>
        <v>0</v>
      </c>
      <c r="W11" s="26">
        <f>SUM($T$11:$V$11)</f>
        <v>0</v>
      </c>
      <c r="X11" s="26">
        <f>'TE BE'!$AB$11*'TE BF'!$X$48</f>
        <v>0</v>
      </c>
      <c r="Y11" s="26">
        <f>SUM($X$11:$X$11)</f>
        <v>0</v>
      </c>
      <c r="Z11" s="26">
        <f>'TE BE'!$Z$11*'TE BF'!$Z$48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72</v>
      </c>
      <c r="I12" s="29">
        <f>'MERCADO TE'!$U$9</f>
        <v>421.79500000000002</v>
      </c>
      <c r="J12" s="15"/>
      <c r="L12" s="26">
        <f>'TE BE'!$L$12*'TE BF'!$L$48</f>
        <v>0</v>
      </c>
      <c r="M12" s="26">
        <f>'TE BE'!$M$12*'TE BF'!$M$48</f>
        <v>0</v>
      </c>
      <c r="N12" s="26">
        <f>'TE BE'!$N$12*'TE BF'!$N$48</f>
        <v>0</v>
      </c>
      <c r="O12" s="26">
        <f>'TE BE'!$O$12*'TE BF'!$O$48</f>
        <v>0</v>
      </c>
      <c r="P12" s="26">
        <f>'TE BE'!$P$12*'TE BF'!$P$48</f>
        <v>0</v>
      </c>
      <c r="Q12" s="26">
        <f>SUM($L$12:$P$12)</f>
        <v>0</v>
      </c>
      <c r="R12" s="26">
        <f>'TE BE'!$R$12*'TE BF'!$R$48</f>
        <v>0</v>
      </c>
      <c r="S12" s="26">
        <f>SUM($R$12:$R$12)</f>
        <v>0</v>
      </c>
      <c r="T12" s="26">
        <f>'TE BE'!$T$12*'TE BF'!$T$48</f>
        <v>0</v>
      </c>
      <c r="U12" s="26">
        <f>'TE BE'!$U$12*'TE BF'!$U$48</f>
        <v>0</v>
      </c>
      <c r="V12" s="26">
        <f>'TE BE'!$V$12*'TE BF'!$V$48</f>
        <v>0</v>
      </c>
      <c r="W12" s="26">
        <f>SUM($T$12:$V$12)</f>
        <v>0</v>
      </c>
      <c r="X12" s="26">
        <f>'TE BE'!$AB$12*'TE BF'!$X$48</f>
        <v>0</v>
      </c>
      <c r="Y12" s="26">
        <f>SUM($X$12:$X$12)</f>
        <v>0</v>
      </c>
      <c r="Z12" s="26">
        <f>'TE BE'!$Z$12*'TE BF'!$Z$48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72</v>
      </c>
      <c r="I13" s="29">
        <f>'MERCADO TE'!$U$10</f>
        <v>486.94200000000001</v>
      </c>
      <c r="J13" s="15"/>
      <c r="L13" s="26">
        <f>'TE BE'!$L$13*'TE BF'!$L$48</f>
        <v>0</v>
      </c>
      <c r="M13" s="26">
        <f>'TE BE'!$M$13*'TE BF'!$M$48</f>
        <v>0</v>
      </c>
      <c r="N13" s="26">
        <f>'TE BE'!$N$13*'TE BF'!$N$48</f>
        <v>0</v>
      </c>
      <c r="O13" s="26">
        <f>'TE BE'!$O$13*'TE BF'!$O$48</f>
        <v>0</v>
      </c>
      <c r="P13" s="26">
        <f>'TE BE'!$P$13*'TE BF'!$P$48</f>
        <v>0</v>
      </c>
      <c r="Q13" s="26">
        <f>SUM($L$13:$P$13)</f>
        <v>0</v>
      </c>
      <c r="R13" s="26">
        <f>'TE BE'!$R$13*'TE BF'!$R$48</f>
        <v>0</v>
      </c>
      <c r="S13" s="26">
        <f>SUM($R$13:$R$13)</f>
        <v>0</v>
      </c>
      <c r="T13" s="26">
        <f>'TE BE'!$T$13*'TE BF'!$T$48</f>
        <v>0</v>
      </c>
      <c r="U13" s="26">
        <f>'TE BE'!$U$13*'TE BF'!$U$48</f>
        <v>0</v>
      </c>
      <c r="V13" s="26">
        <f>'TE BE'!$V$13*'TE BF'!$V$48</f>
        <v>0</v>
      </c>
      <c r="W13" s="26">
        <f>SUM($T$13:$V$13)</f>
        <v>0</v>
      </c>
      <c r="X13" s="26">
        <f>'TE BE'!$AB$13*'TE BF'!$X$48</f>
        <v>0</v>
      </c>
      <c r="Y13" s="26">
        <f>SUM($X$13:$X$13)</f>
        <v>0</v>
      </c>
      <c r="Z13" s="26">
        <f>'TE BE'!$Z$13*'TE BF'!$Z$48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72</v>
      </c>
      <c r="I14" s="29">
        <f>'MERCADO TE'!$U$11</f>
        <v>233.18899999999999</v>
      </c>
      <c r="J14" s="15"/>
      <c r="L14" s="26">
        <f>'TE BE'!$L$14*'TE BF'!$L$48</f>
        <v>0</v>
      </c>
      <c r="M14" s="26">
        <f>'TE BE'!$M$14*'TE BF'!$M$48</f>
        <v>0</v>
      </c>
      <c r="N14" s="26">
        <f>'TE BE'!$N$14*'TE BF'!$N$48</f>
        <v>0</v>
      </c>
      <c r="O14" s="26">
        <f>'TE BE'!$O$14*'TE BF'!$O$48</f>
        <v>0</v>
      </c>
      <c r="P14" s="26">
        <f>'TE BE'!$P$14*'TE BF'!$P$48</f>
        <v>0</v>
      </c>
      <c r="Q14" s="26">
        <f>SUM($L$14:$P$14)</f>
        <v>0</v>
      </c>
      <c r="R14" s="26">
        <f>'TE BE'!$R$14*'TE BF'!$R$48</f>
        <v>0</v>
      </c>
      <c r="S14" s="26">
        <f>SUM($R$14:$R$14)</f>
        <v>0</v>
      </c>
      <c r="T14" s="26">
        <f>'TE BE'!$T$14*'TE BF'!$T$48</f>
        <v>0</v>
      </c>
      <c r="U14" s="26">
        <f>'TE BE'!$U$14*'TE BF'!$U$48</f>
        <v>0</v>
      </c>
      <c r="V14" s="26">
        <f>'TE BE'!$V$14*'TE BF'!$V$48</f>
        <v>0</v>
      </c>
      <c r="W14" s="26">
        <f>SUM($T$14:$V$14)</f>
        <v>0</v>
      </c>
      <c r="X14" s="26">
        <f>'TE BE'!$AB$14*'TE BF'!$X$48</f>
        <v>0</v>
      </c>
      <c r="Y14" s="26">
        <f>SUM($X$14:$X$14)</f>
        <v>0</v>
      </c>
      <c r="Z14" s="26">
        <f>'TE BE'!$Z$14*'TE BF'!$Z$48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72</v>
      </c>
      <c r="I15" s="29">
        <f>'MERCADO TE'!$U$12</f>
        <v>0</v>
      </c>
      <c r="J15" s="15"/>
      <c r="L15" s="26">
        <f>'TE BE'!$L$15*'TE BF'!$L$48</f>
        <v>0</v>
      </c>
      <c r="M15" s="26">
        <f>'TE BE'!$M$15*'TE BF'!$M$48</f>
        <v>0</v>
      </c>
      <c r="N15" s="26">
        <f>'TE BE'!$N$15*'TE BF'!$N$48</f>
        <v>0</v>
      </c>
      <c r="O15" s="26">
        <f>'TE BE'!$O$15*'TE BF'!$O$48</f>
        <v>0</v>
      </c>
      <c r="P15" s="26">
        <f>'TE BE'!$P$15*'TE BF'!$P$48</f>
        <v>0</v>
      </c>
      <c r="Q15" s="26">
        <f>SUM($L$15:$P$15)</f>
        <v>0</v>
      </c>
      <c r="R15" s="26">
        <f>'TE BE'!$R$15*'TE BF'!$R$48</f>
        <v>0</v>
      </c>
      <c r="S15" s="26">
        <f>SUM($R$15:$R$15)</f>
        <v>0</v>
      </c>
      <c r="T15" s="26">
        <f>'TE BE'!$T$15*'TE BF'!$T$48</f>
        <v>0</v>
      </c>
      <c r="U15" s="26">
        <f>'TE BE'!$U$15*'TE BF'!$U$48</f>
        <v>0</v>
      </c>
      <c r="V15" s="26">
        <f>'TE BE'!$V$15*'TE BF'!$V$48</f>
        <v>0</v>
      </c>
      <c r="W15" s="26">
        <f>SUM($T$15:$V$15)</f>
        <v>0</v>
      </c>
      <c r="X15" s="26">
        <f>'TE BE'!$AB$15*'TE BF'!$X$48</f>
        <v>0</v>
      </c>
      <c r="Y15" s="26">
        <f>SUM($X$15:$X$15)</f>
        <v>0</v>
      </c>
      <c r="Z15" s="26">
        <f>'TE BE'!$Z$15*'TE BF'!$Z$48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72</v>
      </c>
      <c r="I16" s="29">
        <f>'MERCADO TE'!$U$13</f>
        <v>0</v>
      </c>
      <c r="J16" s="15"/>
      <c r="L16" s="26">
        <f>'TE BE'!$L$16*'TE BF'!$L$48</f>
        <v>0</v>
      </c>
      <c r="M16" s="26">
        <f>'TE BE'!$M$16*'TE BF'!$M$48</f>
        <v>0</v>
      </c>
      <c r="N16" s="26">
        <f>'TE BE'!$N$16*'TE BF'!$N$48</f>
        <v>0</v>
      </c>
      <c r="O16" s="26">
        <f>'TE BE'!$O$16*'TE BF'!$O$48</f>
        <v>0</v>
      </c>
      <c r="P16" s="26">
        <f>'TE BE'!$P$16*'TE BF'!$P$48</f>
        <v>0</v>
      </c>
      <c r="Q16" s="26">
        <f>SUM($L$16:$P$16)</f>
        <v>0</v>
      </c>
      <c r="R16" s="26">
        <f>'TE BE'!$R$16*'TE BF'!$R$48</f>
        <v>0</v>
      </c>
      <c r="S16" s="26">
        <f>SUM($R$16:$R$16)</f>
        <v>0</v>
      </c>
      <c r="T16" s="26">
        <f>'TE BE'!$T$16*'TE BF'!$T$48</f>
        <v>0</v>
      </c>
      <c r="U16" s="26">
        <f>'TE BE'!$U$16*'TE BF'!$U$48</f>
        <v>0</v>
      </c>
      <c r="V16" s="26">
        <f>'TE BE'!$V$16*'TE BF'!$V$48</f>
        <v>0</v>
      </c>
      <c r="W16" s="26">
        <f>SUM($T$16:$V$16)</f>
        <v>0</v>
      </c>
      <c r="X16" s="26">
        <f>'TE BE'!$AB$16*'TE BF'!$X$48</f>
        <v>0</v>
      </c>
      <c r="Y16" s="26">
        <f>SUM($X$16:$X$16)</f>
        <v>0</v>
      </c>
      <c r="Z16" s="26">
        <f>'TE BE'!$Z$16*'TE BF'!$Z$48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72</v>
      </c>
      <c r="I17" s="29">
        <f>'MERCADO TE'!$U$14</f>
        <v>0</v>
      </c>
      <c r="J17" s="15"/>
      <c r="L17" s="26">
        <f>'TE BE'!$L$17*'TE BF'!$L$48</f>
        <v>0</v>
      </c>
      <c r="M17" s="26">
        <f>'TE BE'!$M$17*'TE BF'!$M$48</f>
        <v>0</v>
      </c>
      <c r="N17" s="26">
        <f>'TE BE'!$N$17*'TE BF'!$N$48</f>
        <v>0</v>
      </c>
      <c r="O17" s="26">
        <f>'TE BE'!$O$17*'TE BF'!$O$48</f>
        <v>0</v>
      </c>
      <c r="P17" s="26">
        <f>'TE BE'!$P$17*'TE BF'!$P$48</f>
        <v>0</v>
      </c>
      <c r="Q17" s="26">
        <f>SUM($L$17:$P$17)</f>
        <v>0</v>
      </c>
      <c r="R17" s="26">
        <f>'TE BE'!$R$17*'TE BF'!$R$48</f>
        <v>0</v>
      </c>
      <c r="S17" s="26">
        <f>SUM($R$17:$R$17)</f>
        <v>0</v>
      </c>
      <c r="T17" s="26">
        <f>'TE BE'!$T$17*'TE BF'!$T$48</f>
        <v>0</v>
      </c>
      <c r="U17" s="26">
        <f>'TE BE'!$U$17*'TE BF'!$U$48</f>
        <v>0</v>
      </c>
      <c r="V17" s="26">
        <f>'TE BE'!$V$17*'TE BF'!$V$48</f>
        <v>0</v>
      </c>
      <c r="W17" s="26">
        <f>SUM($T$17:$V$17)</f>
        <v>0</v>
      </c>
      <c r="X17" s="26">
        <f>'TE BE'!$AB$17*'TE BF'!$X$48</f>
        <v>0</v>
      </c>
      <c r="Y17" s="26">
        <f>SUM($X$17:$X$17)</f>
        <v>0</v>
      </c>
      <c r="Z17" s="26">
        <f>'TE BE'!$Z$17*'TE BF'!$Z$48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72</v>
      </c>
      <c r="I18" s="29">
        <f>'MERCADO TE'!$U$15</f>
        <v>0</v>
      </c>
      <c r="J18" s="15"/>
      <c r="L18" s="26">
        <f>'TE BE'!$L$18*'TE BF'!$L$48</f>
        <v>0</v>
      </c>
      <c r="M18" s="26">
        <f>'TE BE'!$M$18*'TE BF'!$M$48</f>
        <v>0</v>
      </c>
      <c r="N18" s="26">
        <f>'TE BE'!$N$18*'TE BF'!$N$48</f>
        <v>0</v>
      </c>
      <c r="O18" s="26">
        <f>'TE BE'!$O$18*'TE BF'!$O$48</f>
        <v>0</v>
      </c>
      <c r="P18" s="26">
        <f>'TE BE'!$P$18*'TE BF'!$P$48</f>
        <v>0</v>
      </c>
      <c r="Q18" s="26">
        <f>SUM($L$18:$P$18)</f>
        <v>0</v>
      </c>
      <c r="R18" s="26">
        <f>'TE BE'!$R$18*'TE BF'!$R$48</f>
        <v>0</v>
      </c>
      <c r="S18" s="26">
        <f>SUM($R$18:$R$18)</f>
        <v>0</v>
      </c>
      <c r="T18" s="26">
        <f>'TE BE'!$T$18*'TE BF'!$T$48</f>
        <v>0</v>
      </c>
      <c r="U18" s="26">
        <f>'TE BE'!$U$18*'TE BF'!$U$48</f>
        <v>0</v>
      </c>
      <c r="V18" s="26">
        <f>'TE BE'!$V$18*'TE BF'!$V$48</f>
        <v>0</v>
      </c>
      <c r="W18" s="26">
        <f>SUM($T$18:$V$18)</f>
        <v>0</v>
      </c>
      <c r="X18" s="26">
        <f>'TE BE'!$AB$18*'TE BF'!$X$48</f>
        <v>0</v>
      </c>
      <c r="Y18" s="26">
        <f>SUM($X$18:$X$18)</f>
        <v>0</v>
      </c>
      <c r="Z18" s="26">
        <f>'TE BE'!$Z$18*'TE BF'!$Z$48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72</v>
      </c>
      <c r="I19" s="29">
        <f>'MERCADO TE'!$U$16</f>
        <v>0</v>
      </c>
      <c r="J19" s="15"/>
      <c r="L19" s="26">
        <f>'TE BE'!$L$19*'TE BF'!$L$48</f>
        <v>0</v>
      </c>
      <c r="M19" s="26">
        <f>'TE BE'!$M$19*'TE BF'!$M$48</f>
        <v>0</v>
      </c>
      <c r="N19" s="26">
        <f>'TE BE'!$N$19*'TE BF'!$N$48</f>
        <v>0</v>
      </c>
      <c r="O19" s="26">
        <f>'TE BE'!$O$19*'TE BF'!$O$48</f>
        <v>0</v>
      </c>
      <c r="P19" s="26">
        <f>'TE BE'!$P$19*'TE BF'!$P$48</f>
        <v>0</v>
      </c>
      <c r="Q19" s="26">
        <f>SUM($L$19:$P$19)</f>
        <v>0</v>
      </c>
      <c r="R19" s="26">
        <f>'TE BE'!$R$19*'TE BF'!$R$48</f>
        <v>0</v>
      </c>
      <c r="S19" s="26">
        <f>SUM($R$19:$R$19)</f>
        <v>0</v>
      </c>
      <c r="T19" s="26">
        <f>'TE BE'!$T$19*'TE BF'!$T$48</f>
        <v>0</v>
      </c>
      <c r="U19" s="26">
        <f>'TE BE'!$U$19*'TE BF'!$U$48</f>
        <v>0</v>
      </c>
      <c r="V19" s="26">
        <f>'TE BE'!$V$19*'TE BF'!$V$48</f>
        <v>0</v>
      </c>
      <c r="W19" s="26">
        <f>SUM($T$19:$V$19)</f>
        <v>0</v>
      </c>
      <c r="X19" s="26">
        <f>'TE BE'!$AB$19*'TE BF'!$X$48</f>
        <v>0</v>
      </c>
      <c r="Y19" s="26">
        <f>SUM($X$19:$X$19)</f>
        <v>0</v>
      </c>
      <c r="Z19" s="26">
        <f>'TE BE'!$Z$19*'TE BF'!$Z$48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99" t="s">
        <v>43</v>
      </c>
      <c r="B20" s="99" t="s">
        <v>71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'TE BE'!$L$20*'TE BF'!$L$48</f>
        <v>0</v>
      </c>
      <c r="M20" s="26">
        <f>'TE BE'!$M$20*'TE BF'!$M$48</f>
        <v>0</v>
      </c>
      <c r="N20" s="26">
        <f>'TE BE'!$N$20*'TE BF'!$N$48</f>
        <v>0</v>
      </c>
      <c r="O20" s="26">
        <f>'TE BE'!$O$20*'TE BF'!$O$48</f>
        <v>0</v>
      </c>
      <c r="P20" s="26">
        <f>'TE BE'!$P$20*'TE BF'!$P$48</f>
        <v>0</v>
      </c>
      <c r="Q20" s="26">
        <f>SUM($L$20:$P$20)</f>
        <v>0</v>
      </c>
      <c r="R20" s="26">
        <f>'TE BE'!$R$20*'TE BF'!$R$48</f>
        <v>0</v>
      </c>
      <c r="S20" s="26">
        <f>SUM($R$20:$R$20)</f>
        <v>0</v>
      </c>
      <c r="T20" s="26">
        <f>'TE BE'!$T$20*'TE BF'!$T$48</f>
        <v>0</v>
      </c>
      <c r="U20" s="26">
        <f>'TE BE'!$U$20*'TE BF'!$U$48</f>
        <v>0</v>
      </c>
      <c r="V20" s="26">
        <f>'TE BE'!$V$20*'TE BF'!$V$48</f>
        <v>0</v>
      </c>
      <c r="W20" s="26">
        <f>SUM($T$20:$V$20)</f>
        <v>0</v>
      </c>
      <c r="X20" s="26">
        <f>'TE BE'!$AB$20*'TE BF'!$X$48</f>
        <v>0</v>
      </c>
      <c r="Y20" s="26">
        <f>SUM($X$20:$X$20)</f>
        <v>0</v>
      </c>
      <c r="Z20" s="26">
        <f>'TE BE'!$Z$20*'TE BF'!$Z$48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72</v>
      </c>
      <c r="I21" s="29">
        <f>'MERCADO TE'!$U$18</f>
        <v>0</v>
      </c>
      <c r="J21" s="15"/>
      <c r="L21" s="26">
        <f>'TE BE'!$L$21*'TE BF'!$L$48</f>
        <v>0</v>
      </c>
      <c r="M21" s="26">
        <f>'TE BE'!$M$21*'TE BF'!$M$48</f>
        <v>0</v>
      </c>
      <c r="N21" s="26">
        <f>'TE BE'!$N$21*'TE BF'!$N$48</f>
        <v>0</v>
      </c>
      <c r="O21" s="26">
        <f>'TE BE'!$O$21*'TE BF'!$O$48</f>
        <v>0</v>
      </c>
      <c r="P21" s="26">
        <f>'TE BE'!$P$21*'TE BF'!$P$48</f>
        <v>0</v>
      </c>
      <c r="Q21" s="26">
        <f>SUM($L$21:$P$21)</f>
        <v>0</v>
      </c>
      <c r="R21" s="26">
        <f>'TE BE'!$R$21*'TE BF'!$R$48</f>
        <v>0</v>
      </c>
      <c r="S21" s="26">
        <f>SUM($R$21:$R$21)</f>
        <v>0</v>
      </c>
      <c r="T21" s="26">
        <f>'TE BE'!$T$21*'TE BF'!$T$48</f>
        <v>0</v>
      </c>
      <c r="U21" s="26">
        <f>'TE BE'!$U$21*'TE BF'!$U$48</f>
        <v>0</v>
      </c>
      <c r="V21" s="26">
        <f>'TE BE'!$V$21*'TE BF'!$V$48</f>
        <v>0</v>
      </c>
      <c r="W21" s="26">
        <f>SUM($T$21:$V$21)</f>
        <v>0</v>
      </c>
      <c r="X21" s="26">
        <f>'TE BE'!$AB$21*'TE BF'!$X$48</f>
        <v>0</v>
      </c>
      <c r="Y21" s="26">
        <f>SUM($X$21:$X$21)</f>
        <v>0</v>
      </c>
      <c r="Z21" s="26">
        <f>'TE BE'!$Z$21*'TE BF'!$Z$48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74</v>
      </c>
      <c r="H22" s="29" t="s">
        <v>72</v>
      </c>
      <c r="I22" s="29">
        <f>'MERCADO TE'!$U$19</f>
        <v>0</v>
      </c>
      <c r="J22" s="15"/>
      <c r="L22" s="26">
        <f>'TE BE'!$L$22*'TE BF'!$L$48</f>
        <v>0</v>
      </c>
      <c r="M22" s="26">
        <f>'TE BE'!$M$22*'TE BF'!$M$48</f>
        <v>0</v>
      </c>
      <c r="N22" s="26">
        <f>'TE BE'!$N$22*'TE BF'!$N$48</f>
        <v>0</v>
      </c>
      <c r="O22" s="26">
        <f>'TE BE'!$O$22*'TE BF'!$O$48</f>
        <v>0</v>
      </c>
      <c r="P22" s="26">
        <f>'TE BE'!$P$22*'TE BF'!$P$48</f>
        <v>0</v>
      </c>
      <c r="Q22" s="26">
        <f>SUM($L$22:$P$22)</f>
        <v>0</v>
      </c>
      <c r="R22" s="26">
        <f>'TE BE'!$R$22*'TE BF'!$R$48</f>
        <v>0</v>
      </c>
      <c r="S22" s="26">
        <f>SUM($R$22:$R$22)</f>
        <v>0</v>
      </c>
      <c r="T22" s="26">
        <f>'TE BE'!$T$22*'TE BF'!$T$48</f>
        <v>0</v>
      </c>
      <c r="U22" s="26">
        <f>'TE BE'!$U$22*'TE BF'!$U$48</f>
        <v>0</v>
      </c>
      <c r="V22" s="26">
        <f>'TE BE'!$V$22*'TE BF'!$V$48</f>
        <v>0</v>
      </c>
      <c r="W22" s="26">
        <f>SUM($T$22:$V$22)</f>
        <v>0</v>
      </c>
      <c r="X22" s="26">
        <f>'TE BE'!$AB$22*'TE BF'!$X$48</f>
        <v>0</v>
      </c>
      <c r="Y22" s="26">
        <f>SUM($X$22:$X$22)</f>
        <v>0</v>
      </c>
      <c r="Z22" s="26">
        <f>'TE BE'!$Z$22*'TE BF'!$Z$48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99"/>
      <c r="B23" s="28" t="s">
        <v>85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72</v>
      </c>
      <c r="I23" s="29">
        <f>'MERCADO TE'!$U$20</f>
        <v>3201.45</v>
      </c>
      <c r="J23" s="15"/>
      <c r="L23" s="26">
        <f>'TE BE'!$L$23*'TE BF'!$L$48</f>
        <v>0</v>
      </c>
      <c r="M23" s="26">
        <f>'TE BE'!$M$23*'TE BF'!$M$48</f>
        <v>0</v>
      </c>
      <c r="N23" s="26">
        <f>'TE BE'!$N$23*'TE BF'!$N$48</f>
        <v>0</v>
      </c>
      <c r="O23" s="26">
        <f>'TE BE'!$O$23*'TE BF'!$O$48</f>
        <v>0</v>
      </c>
      <c r="P23" s="26">
        <f>'TE BE'!$P$23*'TE BF'!$P$48</f>
        <v>0</v>
      </c>
      <c r="Q23" s="26">
        <f>SUM($L$23:$P$23)</f>
        <v>0</v>
      </c>
      <c r="R23" s="26">
        <f>'TE BE'!$R$23*'TE BF'!$R$48</f>
        <v>0</v>
      </c>
      <c r="S23" s="26">
        <f>SUM($R$23:$R$23)</f>
        <v>0</v>
      </c>
      <c r="T23" s="26">
        <f>'TE BE'!$T$23*'TE BF'!$T$48</f>
        <v>0</v>
      </c>
      <c r="U23" s="26">
        <f>'TE BE'!$U$23*'TE BF'!$U$48</f>
        <v>0</v>
      </c>
      <c r="V23" s="26">
        <f>'TE BE'!$V$23*'TE BF'!$V$48</f>
        <v>0</v>
      </c>
      <c r="W23" s="26">
        <f>SUM($T$23:$V$23)</f>
        <v>0</v>
      </c>
      <c r="X23" s="26">
        <f>'TE BE'!$AB$23*'TE BF'!$X$48</f>
        <v>0</v>
      </c>
      <c r="Y23" s="26">
        <f>SUM($X$23:$X$23)</f>
        <v>0</v>
      </c>
      <c r="Z23" s="26">
        <f>'TE BE'!$Z$23*'TE BF'!$Z$48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99"/>
      <c r="B24" s="99" t="s">
        <v>71</v>
      </c>
      <c r="C24" s="99" t="s">
        <v>44</v>
      </c>
      <c r="D24" s="99" t="s">
        <v>88</v>
      </c>
      <c r="E24" s="99" t="s">
        <v>25</v>
      </c>
      <c r="F24" s="99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'TE BE'!$L$24*'TE BF'!$L$48</f>
        <v>0</v>
      </c>
      <c r="M24" s="26">
        <f>'TE BE'!$M$24*'TE BF'!$M$48</f>
        <v>0</v>
      </c>
      <c r="N24" s="26">
        <f>'TE BE'!$N$24*'TE BF'!$N$48</f>
        <v>0</v>
      </c>
      <c r="O24" s="26">
        <f>'TE BE'!$O$24*'TE BF'!$O$48</f>
        <v>0</v>
      </c>
      <c r="P24" s="26">
        <f>'TE BE'!$P$24*'TE BF'!$P$48</f>
        <v>0</v>
      </c>
      <c r="Q24" s="26">
        <f>SUM($L$24:$P$24)</f>
        <v>0</v>
      </c>
      <c r="R24" s="26">
        <f>'TE BE'!$R$24*'TE BF'!$R$48</f>
        <v>0</v>
      </c>
      <c r="S24" s="26">
        <f>SUM($R$24:$R$24)</f>
        <v>0</v>
      </c>
      <c r="T24" s="26">
        <f>'TE BE'!$T$24*'TE BF'!$T$48</f>
        <v>0</v>
      </c>
      <c r="U24" s="26">
        <f>'TE BE'!$U$24*'TE BF'!$U$48</f>
        <v>0</v>
      </c>
      <c r="V24" s="26">
        <f>'TE BE'!$V$24*'TE BF'!$V$48</f>
        <v>0</v>
      </c>
      <c r="W24" s="26">
        <f>SUM($T$24:$V$24)</f>
        <v>0</v>
      </c>
      <c r="X24" s="26">
        <f>'TE BE'!$AB$24*'TE BF'!$X$48</f>
        <v>0</v>
      </c>
      <c r="Y24" s="26">
        <f>SUM($X$24:$X$24)</f>
        <v>0</v>
      </c>
      <c r="Z24" s="26">
        <f>'TE BE'!$Z$24*'TE BF'!$Z$48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72</v>
      </c>
      <c r="I25" s="29">
        <f>'MERCADO TE'!$U$22</f>
        <v>0</v>
      </c>
      <c r="J25" s="15"/>
      <c r="L25" s="26">
        <f>'TE BE'!$L$25*'TE BF'!$L$48</f>
        <v>0</v>
      </c>
      <c r="M25" s="26">
        <f>'TE BE'!$M$25*'TE BF'!$M$48</f>
        <v>0</v>
      </c>
      <c r="N25" s="26">
        <f>'TE BE'!$N$25*'TE BF'!$N$48</f>
        <v>0</v>
      </c>
      <c r="O25" s="26">
        <f>'TE BE'!$O$25*'TE BF'!$O$48</f>
        <v>0</v>
      </c>
      <c r="P25" s="26">
        <f>'TE BE'!$P$25*'TE BF'!$P$48</f>
        <v>0</v>
      </c>
      <c r="Q25" s="26">
        <f>SUM($L$25:$P$25)</f>
        <v>0</v>
      </c>
      <c r="R25" s="26">
        <f>'TE BE'!$R$25*'TE BF'!$R$48</f>
        <v>0</v>
      </c>
      <c r="S25" s="26">
        <f>SUM($R$25:$R$25)</f>
        <v>0</v>
      </c>
      <c r="T25" s="26">
        <f>'TE BE'!$T$25*'TE BF'!$T$48</f>
        <v>0</v>
      </c>
      <c r="U25" s="26">
        <f>'TE BE'!$U$25*'TE BF'!$U$48</f>
        <v>0</v>
      </c>
      <c r="V25" s="26">
        <f>'TE BE'!$V$25*'TE BF'!$V$48</f>
        <v>0</v>
      </c>
      <c r="W25" s="26">
        <f>SUM($T$25:$V$25)</f>
        <v>0</v>
      </c>
      <c r="X25" s="26">
        <f>'TE BE'!$AB$25*'TE BF'!$X$48</f>
        <v>0</v>
      </c>
      <c r="Y25" s="26">
        <f>SUM($X$25:$X$25)</f>
        <v>0</v>
      </c>
      <c r="Z25" s="26">
        <f>'TE BE'!$Z$25*'TE BF'!$Z$48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74</v>
      </c>
      <c r="H26" s="29" t="s">
        <v>72</v>
      </c>
      <c r="I26" s="29">
        <f>'MERCADO TE'!$U$23</f>
        <v>0</v>
      </c>
      <c r="J26" s="15"/>
      <c r="L26" s="26">
        <f>'TE BE'!$L$26*'TE BF'!$L$48</f>
        <v>0</v>
      </c>
      <c r="M26" s="26">
        <f>'TE BE'!$M$26*'TE BF'!$M$48</f>
        <v>0</v>
      </c>
      <c r="N26" s="26">
        <f>'TE BE'!$N$26*'TE BF'!$N$48</f>
        <v>0</v>
      </c>
      <c r="O26" s="26">
        <f>'TE BE'!$O$26*'TE BF'!$O$48</f>
        <v>0</v>
      </c>
      <c r="P26" s="26">
        <f>'TE BE'!$P$26*'TE BF'!$P$48</f>
        <v>0</v>
      </c>
      <c r="Q26" s="26">
        <f>SUM($L$26:$P$26)</f>
        <v>0</v>
      </c>
      <c r="R26" s="26">
        <f>'TE BE'!$R$26*'TE BF'!$R$48</f>
        <v>0</v>
      </c>
      <c r="S26" s="26">
        <f>SUM($R$26:$R$26)</f>
        <v>0</v>
      </c>
      <c r="T26" s="26">
        <f>'TE BE'!$T$26*'TE BF'!$T$48</f>
        <v>0</v>
      </c>
      <c r="U26" s="26">
        <f>'TE BE'!$U$26*'TE BF'!$U$48</f>
        <v>0</v>
      </c>
      <c r="V26" s="26">
        <f>'TE BE'!$V$26*'TE BF'!$V$48</f>
        <v>0</v>
      </c>
      <c r="W26" s="26">
        <f>SUM($T$26:$V$26)</f>
        <v>0</v>
      </c>
      <c r="X26" s="26">
        <f>'TE BE'!$AB$26*'TE BF'!$X$48</f>
        <v>0</v>
      </c>
      <c r="Y26" s="26">
        <f>SUM($X$26:$X$26)</f>
        <v>0</v>
      </c>
      <c r="Z26" s="26">
        <f>'TE BE'!$Z$26*'TE BF'!$Z$48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99"/>
      <c r="B27" s="28" t="s">
        <v>85</v>
      </c>
      <c r="C27" s="28" t="s">
        <v>44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72</v>
      </c>
      <c r="I27" s="29">
        <f>'MERCADO TE'!$U$24</f>
        <v>0</v>
      </c>
      <c r="J27" s="15"/>
      <c r="L27" s="26">
        <f>'TE BE'!$L$27*'TE BF'!$L$48</f>
        <v>0</v>
      </c>
      <c r="M27" s="26">
        <f>'TE BE'!$M$27*'TE BF'!$M$48</f>
        <v>0</v>
      </c>
      <c r="N27" s="26">
        <f>'TE BE'!$N$27*'TE BF'!$N$48</f>
        <v>0</v>
      </c>
      <c r="O27" s="26">
        <f>'TE BE'!$O$27*'TE BF'!$O$48</f>
        <v>0</v>
      </c>
      <c r="P27" s="26">
        <f>'TE BE'!$P$27*'TE BF'!$P$48</f>
        <v>0</v>
      </c>
      <c r="Q27" s="26">
        <f>SUM($L$27:$P$27)</f>
        <v>0</v>
      </c>
      <c r="R27" s="26">
        <f>'TE BE'!$R$27*'TE BF'!$R$48</f>
        <v>0</v>
      </c>
      <c r="S27" s="26">
        <f>SUM($R$27:$R$27)</f>
        <v>0</v>
      </c>
      <c r="T27" s="26">
        <f>'TE BE'!$T$27*'TE BF'!$T$48</f>
        <v>0</v>
      </c>
      <c r="U27" s="26">
        <f>'TE BE'!$U$27*'TE BF'!$U$48</f>
        <v>0</v>
      </c>
      <c r="V27" s="26">
        <f>'TE BE'!$V$27*'TE BF'!$V$48</f>
        <v>0</v>
      </c>
      <c r="W27" s="26">
        <f>SUM($T$27:$V$27)</f>
        <v>0</v>
      </c>
      <c r="X27" s="26">
        <f>'TE BE'!$AB$27*'TE BF'!$X$48</f>
        <v>0</v>
      </c>
      <c r="Y27" s="26">
        <f>SUM($X$27:$X$27)</f>
        <v>0</v>
      </c>
      <c r="Z27" s="26">
        <f>'TE BE'!$Z$27*'TE BF'!$Z$48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99"/>
      <c r="B28" s="99" t="s">
        <v>71</v>
      </c>
      <c r="C28" s="99" t="s">
        <v>44</v>
      </c>
      <c r="D28" s="99" t="s">
        <v>89</v>
      </c>
      <c r="E28" s="99" t="s">
        <v>25</v>
      </c>
      <c r="F28" s="99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'TE BE'!$L$28*'TE BF'!$L$48</f>
        <v>0</v>
      </c>
      <c r="M28" s="26">
        <f>'TE BE'!$M$28*'TE BF'!$M$48</f>
        <v>0</v>
      </c>
      <c r="N28" s="26">
        <f>'TE BE'!$N$28*'TE BF'!$N$48</f>
        <v>0</v>
      </c>
      <c r="O28" s="26">
        <f>'TE BE'!$O$28*'TE BF'!$O$48</f>
        <v>0</v>
      </c>
      <c r="P28" s="26">
        <f>'TE BE'!$P$28*'TE BF'!$P$48</f>
        <v>0</v>
      </c>
      <c r="Q28" s="26">
        <f>SUM($L$28:$P$28)</f>
        <v>0</v>
      </c>
      <c r="R28" s="26">
        <f>'TE BE'!$R$28*'TE BF'!$R$48</f>
        <v>0</v>
      </c>
      <c r="S28" s="26">
        <f>SUM($R$28:$R$28)</f>
        <v>0</v>
      </c>
      <c r="T28" s="26">
        <f>'TE BE'!$T$28*'TE BF'!$T$48</f>
        <v>0</v>
      </c>
      <c r="U28" s="26">
        <f>'TE BE'!$U$28*'TE BF'!$U$48</f>
        <v>0</v>
      </c>
      <c r="V28" s="26">
        <f>'TE BE'!$V$28*'TE BF'!$V$48</f>
        <v>0</v>
      </c>
      <c r="W28" s="26">
        <f>SUM($T$28:$V$28)</f>
        <v>0</v>
      </c>
      <c r="X28" s="26">
        <f>'TE BE'!$AB$28*'TE BF'!$X$48</f>
        <v>0</v>
      </c>
      <c r="Y28" s="26">
        <f>SUM($X$28:$X$28)</f>
        <v>0</v>
      </c>
      <c r="Z28" s="26">
        <f>'TE BE'!$Z$28*'TE BF'!$Z$48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72</v>
      </c>
      <c r="I29" s="29">
        <f>'MERCADO TE'!$U$26</f>
        <v>0</v>
      </c>
      <c r="J29" s="15"/>
      <c r="L29" s="26">
        <f>'TE BE'!$L$29*'TE BF'!$L$48</f>
        <v>0</v>
      </c>
      <c r="M29" s="26">
        <f>'TE BE'!$M$29*'TE BF'!$M$48</f>
        <v>0</v>
      </c>
      <c r="N29" s="26">
        <f>'TE BE'!$N$29*'TE BF'!$N$48</f>
        <v>0</v>
      </c>
      <c r="O29" s="26">
        <f>'TE BE'!$O$29*'TE BF'!$O$48</f>
        <v>0</v>
      </c>
      <c r="P29" s="26">
        <f>'TE BE'!$P$29*'TE BF'!$P$48</f>
        <v>0</v>
      </c>
      <c r="Q29" s="26">
        <f>SUM($L$29:$P$29)</f>
        <v>0</v>
      </c>
      <c r="R29" s="26">
        <f>'TE BE'!$R$29*'TE BF'!$R$48</f>
        <v>0</v>
      </c>
      <c r="S29" s="26">
        <f>SUM($R$29:$R$29)</f>
        <v>0</v>
      </c>
      <c r="T29" s="26">
        <f>'TE BE'!$T$29*'TE BF'!$T$48</f>
        <v>0</v>
      </c>
      <c r="U29" s="26">
        <f>'TE BE'!$U$29*'TE BF'!$U$48</f>
        <v>0</v>
      </c>
      <c r="V29" s="26">
        <f>'TE BE'!$V$29*'TE BF'!$V$48</f>
        <v>0</v>
      </c>
      <c r="W29" s="26">
        <f>SUM($T$29:$V$29)</f>
        <v>0</v>
      </c>
      <c r="X29" s="26">
        <f>'TE BE'!$AB$29*'TE BF'!$X$48</f>
        <v>0</v>
      </c>
      <c r="Y29" s="26">
        <f>SUM($X$29:$X$29)</f>
        <v>0</v>
      </c>
      <c r="Z29" s="26">
        <f>'TE BE'!$Z$29*'TE BF'!$Z$48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74</v>
      </c>
      <c r="H30" s="29" t="s">
        <v>72</v>
      </c>
      <c r="I30" s="29">
        <f>'MERCADO TE'!$U$27</f>
        <v>0</v>
      </c>
      <c r="J30" s="15"/>
      <c r="L30" s="26">
        <f>'TE BE'!$L$30*'TE BF'!$L$48</f>
        <v>0</v>
      </c>
      <c r="M30" s="26">
        <f>'TE BE'!$M$30*'TE BF'!$M$48</f>
        <v>0</v>
      </c>
      <c r="N30" s="26">
        <f>'TE BE'!$N$30*'TE BF'!$N$48</f>
        <v>0</v>
      </c>
      <c r="O30" s="26">
        <f>'TE BE'!$O$30*'TE BF'!$O$48</f>
        <v>0</v>
      </c>
      <c r="P30" s="26">
        <f>'TE BE'!$P$30*'TE BF'!$P$48</f>
        <v>0</v>
      </c>
      <c r="Q30" s="26">
        <f>SUM($L$30:$P$30)</f>
        <v>0</v>
      </c>
      <c r="R30" s="26">
        <f>'TE BE'!$R$30*'TE BF'!$R$48</f>
        <v>0</v>
      </c>
      <c r="S30" s="26">
        <f>SUM($R$30:$R$30)</f>
        <v>0</v>
      </c>
      <c r="T30" s="26">
        <f>'TE BE'!$T$30*'TE BF'!$T$48</f>
        <v>0</v>
      </c>
      <c r="U30" s="26">
        <f>'TE BE'!$U$30*'TE BF'!$U$48</f>
        <v>0</v>
      </c>
      <c r="V30" s="26">
        <f>'TE BE'!$V$30*'TE BF'!$V$48</f>
        <v>0</v>
      </c>
      <c r="W30" s="26">
        <f>SUM($T$30:$V$30)</f>
        <v>0</v>
      </c>
      <c r="X30" s="26">
        <f>'TE BE'!$AB$30*'TE BF'!$X$48</f>
        <v>0</v>
      </c>
      <c r="Y30" s="26">
        <f>SUM($X$30:$X$30)</f>
        <v>0</v>
      </c>
      <c r="Z30" s="26">
        <f>'TE BE'!$Z$30*'TE BF'!$Z$48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99"/>
      <c r="B31" s="28" t="s">
        <v>85</v>
      </c>
      <c r="C31" s="28" t="s">
        <v>44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72</v>
      </c>
      <c r="I31" s="29">
        <f>'MERCADO TE'!$U$28</f>
        <v>0</v>
      </c>
      <c r="J31" s="15"/>
      <c r="L31" s="26">
        <f>'TE BE'!$L$31*'TE BF'!$L$48</f>
        <v>0</v>
      </c>
      <c r="M31" s="26">
        <f>'TE BE'!$M$31*'TE BF'!$M$48</f>
        <v>0</v>
      </c>
      <c r="N31" s="26">
        <f>'TE BE'!$N$31*'TE BF'!$N$48</f>
        <v>0</v>
      </c>
      <c r="O31" s="26">
        <f>'TE BE'!$O$31*'TE BF'!$O$48</f>
        <v>0</v>
      </c>
      <c r="P31" s="26">
        <f>'TE BE'!$P$31*'TE BF'!$P$48</f>
        <v>0</v>
      </c>
      <c r="Q31" s="26">
        <f>SUM($L$31:$P$31)</f>
        <v>0</v>
      </c>
      <c r="R31" s="26">
        <f>'TE BE'!$R$31*'TE BF'!$R$48</f>
        <v>0</v>
      </c>
      <c r="S31" s="26">
        <f>SUM($R$31:$R$31)</f>
        <v>0</v>
      </c>
      <c r="T31" s="26">
        <f>'TE BE'!$T$31*'TE BF'!$T$48</f>
        <v>0</v>
      </c>
      <c r="U31" s="26">
        <f>'TE BE'!$U$31*'TE BF'!$U$48</f>
        <v>0</v>
      </c>
      <c r="V31" s="26">
        <f>'TE BE'!$V$31*'TE BF'!$V$48</f>
        <v>0</v>
      </c>
      <c r="W31" s="26">
        <f>SUM($T$31:$V$31)</f>
        <v>0</v>
      </c>
      <c r="X31" s="26">
        <f>'TE BE'!$AB$31*'TE BF'!$X$48</f>
        <v>0</v>
      </c>
      <c r="Y31" s="26">
        <f>SUM($X$31:$X$31)</f>
        <v>0</v>
      </c>
      <c r="Z31" s="26">
        <f>'TE BE'!$Z$31*'TE BF'!$Z$48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99"/>
      <c r="B32" s="99" t="s">
        <v>86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72</v>
      </c>
      <c r="I32" s="29">
        <f>'MERCADO TE'!$U$29</f>
        <v>0</v>
      </c>
      <c r="J32" s="15"/>
      <c r="L32" s="26">
        <f>'TE BE'!$L$32*'TE BF'!$L$48</f>
        <v>0</v>
      </c>
      <c r="M32" s="26">
        <f>'TE BE'!$M$32*'TE BF'!$M$48</f>
        <v>0</v>
      </c>
      <c r="N32" s="26">
        <f>'TE BE'!$N$32*'TE BF'!$N$48</f>
        <v>0</v>
      </c>
      <c r="O32" s="26">
        <f>'TE BE'!$O$32*'TE BF'!$O$48</f>
        <v>0</v>
      </c>
      <c r="P32" s="26">
        <f>'TE BE'!$P$32*'TE BF'!$P$48</f>
        <v>0</v>
      </c>
      <c r="Q32" s="26">
        <f>SUM($L$32:$P$32)</f>
        <v>0</v>
      </c>
      <c r="R32" s="26">
        <f>'TE BE'!$R$32*'TE BF'!$R$48</f>
        <v>0</v>
      </c>
      <c r="S32" s="26">
        <f>SUM($R$32:$R$32)</f>
        <v>0</v>
      </c>
      <c r="T32" s="26">
        <f>'TE BE'!$T$32*'TE BF'!$T$48</f>
        <v>0</v>
      </c>
      <c r="U32" s="26">
        <f>'TE BE'!$U$32*'TE BF'!$U$48</f>
        <v>0</v>
      </c>
      <c r="V32" s="26">
        <f>'TE BE'!$V$32*'TE BF'!$V$48</f>
        <v>0</v>
      </c>
      <c r="W32" s="26">
        <f>SUM($T$32:$V$32)</f>
        <v>0</v>
      </c>
      <c r="X32" s="26">
        <f>'TE BE'!$AB$32*'TE BF'!$X$48</f>
        <v>0</v>
      </c>
      <c r="Y32" s="26">
        <f>SUM($X$32:$X$32)</f>
        <v>0</v>
      </c>
      <c r="Z32" s="26">
        <f>'TE BE'!$Z$32*'TE BF'!$Z$48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72</v>
      </c>
      <c r="I33" s="29">
        <f>'MERCADO TE'!$U$30</f>
        <v>0</v>
      </c>
      <c r="J33" s="15"/>
      <c r="L33" s="26">
        <f>'TE BE'!$L$33*'TE BF'!$L$48</f>
        <v>0</v>
      </c>
      <c r="M33" s="26">
        <f>'TE BE'!$M$33*'TE BF'!$M$48</f>
        <v>0</v>
      </c>
      <c r="N33" s="26">
        <f>'TE BE'!$N$33*'TE BF'!$N$48</f>
        <v>0</v>
      </c>
      <c r="O33" s="26">
        <f>'TE BE'!$O$33*'TE BF'!$O$48</f>
        <v>0</v>
      </c>
      <c r="P33" s="26">
        <f>'TE BE'!$P$33*'TE BF'!$P$48</f>
        <v>0</v>
      </c>
      <c r="Q33" s="26">
        <f>SUM($L$33:$P$33)</f>
        <v>0</v>
      </c>
      <c r="R33" s="26">
        <f>'TE BE'!$R$33*'TE BF'!$R$48</f>
        <v>0</v>
      </c>
      <c r="S33" s="26">
        <f>SUM($R$33:$R$33)</f>
        <v>0</v>
      </c>
      <c r="T33" s="26">
        <f>'TE BE'!$T$33*'TE BF'!$T$48</f>
        <v>0</v>
      </c>
      <c r="U33" s="26">
        <f>'TE BE'!$U$33*'TE BF'!$U$48</f>
        <v>0</v>
      </c>
      <c r="V33" s="26">
        <f>'TE BE'!$V$33*'TE BF'!$V$48</f>
        <v>0</v>
      </c>
      <c r="W33" s="26">
        <f>SUM($T$33:$V$33)</f>
        <v>0</v>
      </c>
      <c r="X33" s="26">
        <f>'TE BE'!$AB$33*'TE BF'!$X$48</f>
        <v>0</v>
      </c>
      <c r="Y33" s="26">
        <f>SUM($X$33:$X$33)</f>
        <v>0</v>
      </c>
      <c r="Z33" s="26">
        <f>'TE BE'!$Z$33*'TE BF'!$Z$48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72</v>
      </c>
      <c r="I34" s="29">
        <f>'MERCADO TE'!$U$31</f>
        <v>0</v>
      </c>
      <c r="J34" s="15"/>
      <c r="L34" s="26">
        <f>'TE BE'!$L$34*'TE BF'!$L$48</f>
        <v>0</v>
      </c>
      <c r="M34" s="26">
        <f>'TE BE'!$M$34*'TE BF'!$M$48</f>
        <v>0</v>
      </c>
      <c r="N34" s="26">
        <f>'TE BE'!$N$34*'TE BF'!$N$48</f>
        <v>0</v>
      </c>
      <c r="O34" s="26">
        <f>'TE BE'!$O$34*'TE BF'!$O$48</f>
        <v>0</v>
      </c>
      <c r="P34" s="26">
        <f>'TE BE'!$P$34*'TE BF'!$P$48</f>
        <v>0</v>
      </c>
      <c r="Q34" s="26">
        <f>SUM($L$34:$P$34)</f>
        <v>0</v>
      </c>
      <c r="R34" s="26">
        <f>'TE BE'!$R$34*'TE BF'!$R$48</f>
        <v>0</v>
      </c>
      <c r="S34" s="26">
        <f>SUM($R$34:$R$34)</f>
        <v>0</v>
      </c>
      <c r="T34" s="26">
        <f>'TE BE'!$T$34*'TE BF'!$T$48</f>
        <v>0</v>
      </c>
      <c r="U34" s="26">
        <f>'TE BE'!$U$34*'TE BF'!$U$48</f>
        <v>0</v>
      </c>
      <c r="V34" s="26">
        <f>'TE BE'!$V$34*'TE BF'!$V$48</f>
        <v>0</v>
      </c>
      <c r="W34" s="26">
        <f>SUM($T$34:$V$34)</f>
        <v>0</v>
      </c>
      <c r="X34" s="26">
        <f>'TE BE'!$AB$34*'TE BF'!$X$48</f>
        <v>0</v>
      </c>
      <c r="Y34" s="26">
        <f>SUM($X$34:$X$34)</f>
        <v>0</v>
      </c>
      <c r="Z34" s="26">
        <f>'TE BE'!$Z$34*'TE BF'!$Z$48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99" t="s">
        <v>33</v>
      </c>
      <c r="B35" s="99" t="s">
        <v>71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73</v>
      </c>
      <c r="H35" s="29" t="s">
        <v>72</v>
      </c>
      <c r="I35" s="29">
        <f>'MERCADO TE'!$U$32</f>
        <v>1.0639999999999998</v>
      </c>
      <c r="J35" s="15"/>
      <c r="L35" s="26">
        <f>'TE BE'!$L$35*'TE BF'!$L$48</f>
        <v>0</v>
      </c>
      <c r="M35" s="26">
        <f>'TE BE'!$M$35*'TE BF'!$M$48</f>
        <v>0</v>
      </c>
      <c r="N35" s="26">
        <f>'TE BE'!$N$35*'TE BF'!$N$48</f>
        <v>0</v>
      </c>
      <c r="O35" s="26">
        <f>'TE BE'!$O$35*'TE BF'!$O$48</f>
        <v>0</v>
      </c>
      <c r="P35" s="26">
        <f>'TE BE'!$P$35*'TE BF'!$P$48</f>
        <v>0</v>
      </c>
      <c r="Q35" s="26">
        <f>SUM($L$35:$P$35)</f>
        <v>0</v>
      </c>
      <c r="R35" s="26">
        <f>'TE BE'!$R$35*'TE BF'!$R$48</f>
        <v>0</v>
      </c>
      <c r="S35" s="26">
        <f>SUM($R$35:$R$35)</f>
        <v>0</v>
      </c>
      <c r="T35" s="26">
        <f>'TE BE'!$T$35*'TE BF'!$T$48</f>
        <v>0</v>
      </c>
      <c r="U35" s="26">
        <f>'TE BE'!$U$35*'TE BF'!$U$48</f>
        <v>0</v>
      </c>
      <c r="V35" s="26">
        <f>'TE BE'!$V$35*'TE BF'!$V$48</f>
        <v>0</v>
      </c>
      <c r="W35" s="26">
        <f>SUM($T$35:$V$35)</f>
        <v>0</v>
      </c>
      <c r="X35" s="26">
        <f>'TE BE'!$AB$35*'TE BF'!$X$48</f>
        <v>0</v>
      </c>
      <c r="Y35" s="26">
        <f>SUM($X$35:$X$35)</f>
        <v>0</v>
      </c>
      <c r="Z35" s="26">
        <f>'TE BE'!$Z$35*'TE BF'!$Z$48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72</v>
      </c>
      <c r="I36" s="29">
        <f>'MERCADO TE'!$U$33</f>
        <v>1.6680000000000006</v>
      </c>
      <c r="J36" s="15"/>
      <c r="L36" s="26">
        <f>'TE BE'!$L$36*'TE BF'!$L$48</f>
        <v>0</v>
      </c>
      <c r="M36" s="26">
        <f>'TE BE'!$M$36*'TE BF'!$M$48</f>
        <v>0</v>
      </c>
      <c r="N36" s="26">
        <f>'TE BE'!$N$36*'TE BF'!$N$48</f>
        <v>0</v>
      </c>
      <c r="O36" s="26">
        <f>'TE BE'!$O$36*'TE BF'!$O$48</f>
        <v>0</v>
      </c>
      <c r="P36" s="26">
        <f>'TE BE'!$P$36*'TE BF'!$P$48</f>
        <v>0</v>
      </c>
      <c r="Q36" s="26">
        <f>SUM($L$36:$P$36)</f>
        <v>0</v>
      </c>
      <c r="R36" s="26">
        <f>'TE BE'!$R$36*'TE BF'!$R$48</f>
        <v>0</v>
      </c>
      <c r="S36" s="26">
        <f>SUM($R$36:$R$36)</f>
        <v>0</v>
      </c>
      <c r="T36" s="26">
        <f>'TE BE'!$T$36*'TE BF'!$T$48</f>
        <v>0</v>
      </c>
      <c r="U36" s="26">
        <f>'TE BE'!$U$36*'TE BF'!$U$48</f>
        <v>0</v>
      </c>
      <c r="V36" s="26">
        <f>'TE BE'!$V$36*'TE BF'!$V$48</f>
        <v>0</v>
      </c>
      <c r="W36" s="26">
        <f>SUM($T$36:$V$36)</f>
        <v>0</v>
      </c>
      <c r="X36" s="26">
        <f>'TE BE'!$AB$36*'TE BF'!$X$48</f>
        <v>0</v>
      </c>
      <c r="Y36" s="26">
        <f>SUM($X$36:$X$36)</f>
        <v>0</v>
      </c>
      <c r="Z36" s="26">
        <f>'TE BE'!$Z$36*'TE BF'!$Z$48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74</v>
      </c>
      <c r="H37" s="29" t="s">
        <v>72</v>
      </c>
      <c r="I37" s="29">
        <f>'MERCADO TE'!$U$34</f>
        <v>73.304000000000016</v>
      </c>
      <c r="J37" s="15"/>
      <c r="L37" s="26">
        <f>'TE BE'!$L$37*'TE BF'!$L$48</f>
        <v>0</v>
      </c>
      <c r="M37" s="26">
        <f>'TE BE'!$M$37*'TE BF'!$M$48</f>
        <v>0</v>
      </c>
      <c r="N37" s="26">
        <f>'TE BE'!$N$37*'TE BF'!$N$48</f>
        <v>0</v>
      </c>
      <c r="O37" s="26">
        <f>'TE BE'!$O$37*'TE BF'!$O$48</f>
        <v>0</v>
      </c>
      <c r="P37" s="26">
        <f>'TE BE'!$P$37*'TE BF'!$P$48</f>
        <v>0</v>
      </c>
      <c r="Q37" s="26">
        <f>SUM($L$37:$P$37)</f>
        <v>0</v>
      </c>
      <c r="R37" s="26">
        <f>'TE BE'!$R$37*'TE BF'!$R$48</f>
        <v>0</v>
      </c>
      <c r="S37" s="26">
        <f>SUM($R$37:$R$37)</f>
        <v>0</v>
      </c>
      <c r="T37" s="26">
        <f>'TE BE'!$T$37*'TE BF'!$T$48</f>
        <v>0</v>
      </c>
      <c r="U37" s="26">
        <f>'TE BE'!$U$37*'TE BF'!$U$48</f>
        <v>0</v>
      </c>
      <c r="V37" s="26">
        <f>'TE BE'!$V$37*'TE BF'!$V$48</f>
        <v>0</v>
      </c>
      <c r="W37" s="26">
        <f>SUM($T$37:$V$37)</f>
        <v>0</v>
      </c>
      <c r="X37" s="26">
        <f>'TE BE'!$AB$37*'TE BF'!$X$48</f>
        <v>0</v>
      </c>
      <c r="Y37" s="26">
        <f>SUM($X$37:$X$37)</f>
        <v>0</v>
      </c>
      <c r="Z37" s="26">
        <f>'TE BE'!$Z$37*'TE BF'!$Z$48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72</v>
      </c>
      <c r="I38" s="29">
        <f>'MERCADO TE'!$U$35</f>
        <v>14591.943000000003</v>
      </c>
      <c r="J38" s="15"/>
      <c r="L38" s="26">
        <f>'TE BE'!$L$38*'TE BF'!$L$48</f>
        <v>0</v>
      </c>
      <c r="M38" s="26">
        <f>'TE BE'!$M$38*'TE BF'!$M$48</f>
        <v>0</v>
      </c>
      <c r="N38" s="26">
        <f>'TE BE'!$N$38*'TE BF'!$N$48</f>
        <v>0</v>
      </c>
      <c r="O38" s="26">
        <f>'TE BE'!$O$38*'TE BF'!$O$48</f>
        <v>0</v>
      </c>
      <c r="P38" s="26">
        <f>'TE BE'!$P$38*'TE BF'!$P$48</f>
        <v>0</v>
      </c>
      <c r="Q38" s="26">
        <f>SUM($L$38:$P$38)</f>
        <v>0</v>
      </c>
      <c r="R38" s="26">
        <f>'TE BE'!$R$38*'TE BF'!$R$48</f>
        <v>0</v>
      </c>
      <c r="S38" s="26">
        <f>SUM($R$38:$R$38)</f>
        <v>0</v>
      </c>
      <c r="T38" s="26">
        <f>'TE BE'!$T$38*'TE BF'!$T$48</f>
        <v>0</v>
      </c>
      <c r="U38" s="26">
        <f>'TE BE'!$U$38*'TE BF'!$U$48</f>
        <v>0</v>
      </c>
      <c r="V38" s="26">
        <f>'TE BE'!$V$38*'TE BF'!$V$48</f>
        <v>0</v>
      </c>
      <c r="W38" s="26">
        <f>SUM($T$38:$V$38)</f>
        <v>0</v>
      </c>
      <c r="X38" s="26">
        <f>'TE BE'!$AB$38*'TE BF'!$X$48</f>
        <v>0</v>
      </c>
      <c r="Y38" s="26">
        <f>SUM($X$38:$X$38)</f>
        <v>0</v>
      </c>
      <c r="Z38" s="26">
        <f>'TE BE'!$Z$38*'TE BF'!$Z$48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72</v>
      </c>
      <c r="I39" s="29">
        <f>'MERCADO TE'!$U$36</f>
        <v>0</v>
      </c>
      <c r="J39" s="15"/>
      <c r="L39" s="26">
        <f>'TE BE'!$L$39*'TE BF'!$L$48</f>
        <v>0</v>
      </c>
      <c r="M39" s="26">
        <f>'TE BE'!$M$39*'TE BF'!$M$48</f>
        <v>0</v>
      </c>
      <c r="N39" s="26">
        <f>'TE BE'!$N$39*'TE BF'!$N$48</f>
        <v>0</v>
      </c>
      <c r="O39" s="26">
        <f>'TE BE'!$O$39*'TE BF'!$O$48</f>
        <v>0</v>
      </c>
      <c r="P39" s="26">
        <f>'TE BE'!$P$39*'TE BF'!$P$48</f>
        <v>0</v>
      </c>
      <c r="Q39" s="26">
        <f>SUM($L$39:$P$39)</f>
        <v>0</v>
      </c>
      <c r="R39" s="26">
        <f>'TE BE'!$R$39*'TE BF'!$R$48</f>
        <v>0</v>
      </c>
      <c r="S39" s="26">
        <f>SUM($R$39:$R$39)</f>
        <v>0</v>
      </c>
      <c r="T39" s="26">
        <f>'TE BE'!$T$39*'TE BF'!$T$48</f>
        <v>0</v>
      </c>
      <c r="U39" s="26">
        <f>'TE BE'!$U$39*'TE BF'!$U$48</f>
        <v>0</v>
      </c>
      <c r="V39" s="26">
        <f>'TE BE'!$V$39*'TE BF'!$V$48</f>
        <v>0</v>
      </c>
      <c r="W39" s="26">
        <f>SUM($T$39:$V$39)</f>
        <v>0</v>
      </c>
      <c r="X39" s="26">
        <f>'TE BE'!$AB$39*'TE BF'!$X$48</f>
        <v>0</v>
      </c>
      <c r="Y39" s="26">
        <f>SUM($X$39:$X$39)</f>
        <v>0</v>
      </c>
      <c r="Z39" s="26">
        <f>'TE BE'!$Z$39*'TE BF'!$Z$48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99" t="s">
        <v>46</v>
      </c>
      <c r="B40" s="99" t="s">
        <v>85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78</v>
      </c>
      <c r="H40" s="29" t="s">
        <v>72</v>
      </c>
      <c r="I40" s="29">
        <f>'MERCADO TE'!$U$37</f>
        <v>5137.0619999999999</v>
      </c>
      <c r="J40" s="15"/>
      <c r="L40" s="26">
        <f>'TE BE'!$L$40*'TE BF'!$L$48</f>
        <v>0</v>
      </c>
      <c r="M40" s="26">
        <f>'TE BE'!$M$40*'TE BF'!$M$48</f>
        <v>0</v>
      </c>
      <c r="N40" s="26">
        <f>'TE BE'!$N$40*'TE BF'!$N$48</f>
        <v>0</v>
      </c>
      <c r="O40" s="26">
        <f>'TE BE'!$O$40*'TE BF'!$O$48</f>
        <v>0</v>
      </c>
      <c r="P40" s="26">
        <f>'TE BE'!$P$40*'TE BF'!$P$48</f>
        <v>0</v>
      </c>
      <c r="Q40" s="26">
        <f>SUM($L$40:$P$40)</f>
        <v>0</v>
      </c>
      <c r="R40" s="26">
        <f>'TE BE'!$R$40*'TE BF'!$R$48</f>
        <v>0</v>
      </c>
      <c r="S40" s="26">
        <f>SUM($R$40:$R$40)</f>
        <v>0</v>
      </c>
      <c r="T40" s="26">
        <f>'TE BE'!$T$40*'TE BF'!$T$48</f>
        <v>0</v>
      </c>
      <c r="U40" s="26">
        <f>'TE BE'!$U$40*'TE BF'!$U$48</f>
        <v>0</v>
      </c>
      <c r="V40" s="26">
        <f>'TE BE'!$V$40*'TE BF'!$V$48</f>
        <v>0</v>
      </c>
      <c r="W40" s="26">
        <f>SUM($T$40:$V$40)</f>
        <v>0</v>
      </c>
      <c r="X40" s="26">
        <f>'TE BE'!$AB$40*'TE BF'!$X$48</f>
        <v>0</v>
      </c>
      <c r="Y40" s="26">
        <f>SUM($X$40:$X$40)</f>
        <v>0</v>
      </c>
      <c r="Z40" s="26">
        <f>'TE BE'!$Z$40*'TE BF'!$Z$48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72</v>
      </c>
      <c r="I41" s="29">
        <f>'MERCADO TE'!$U$38</f>
        <v>0</v>
      </c>
      <c r="J41" s="15"/>
      <c r="L41" s="26">
        <f>'TE BE'!$L$41*'TE BF'!$L$48</f>
        <v>0</v>
      </c>
      <c r="M41" s="26">
        <f>'TE BE'!$M$41*'TE BF'!$M$48</f>
        <v>0</v>
      </c>
      <c r="N41" s="26">
        <f>'TE BE'!$N$41*'TE BF'!$N$48</f>
        <v>0</v>
      </c>
      <c r="O41" s="26">
        <f>'TE BE'!$O$41*'TE BF'!$O$48</f>
        <v>0</v>
      </c>
      <c r="P41" s="26">
        <f>'TE BE'!$P$41*'TE BF'!$P$48</f>
        <v>0</v>
      </c>
      <c r="Q41" s="26">
        <f>SUM($L$41:$P$41)</f>
        <v>0</v>
      </c>
      <c r="R41" s="26">
        <f>'TE BE'!$R$41*'TE BF'!$R$48</f>
        <v>0</v>
      </c>
      <c r="S41" s="26">
        <f>SUM($R$41:$R$41)</f>
        <v>0</v>
      </c>
      <c r="T41" s="26">
        <f>'TE BE'!$T$41*'TE BF'!$T$48</f>
        <v>0</v>
      </c>
      <c r="U41" s="26">
        <f>'TE BE'!$U$41*'TE BF'!$U$48</f>
        <v>0</v>
      </c>
      <c r="V41" s="26">
        <f>'TE BE'!$V$41*'TE BF'!$V$48</f>
        <v>0</v>
      </c>
      <c r="W41" s="26">
        <f>SUM($T$41:$V$41)</f>
        <v>0</v>
      </c>
      <c r="X41" s="26">
        <f>'TE BE'!$AB$41*'TE BF'!$X$48</f>
        <v>0</v>
      </c>
      <c r="Y41" s="26">
        <f>SUM($X$41:$X$41)</f>
        <v>0</v>
      </c>
      <c r="Z41" s="26">
        <f>'TE BE'!$Z$41*'TE BF'!$Z$48</f>
        <v>0</v>
      </c>
      <c r="AA41" s="26">
        <f>SUM($Z$41:$Z$41)</f>
        <v>0</v>
      </c>
      <c r="AB41" s="26">
        <f>SUMIF($L$4:$AA$4,"SUBTOTAL",$L$41:$AA$41)</f>
        <v>0</v>
      </c>
    </row>
    <row r="43" spans="1:28" ht="11.25" customHeight="1" x14ac:dyDescent="0.25">
      <c r="K43" s="31" t="s">
        <v>569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0</v>
      </c>
      <c r="S43" s="26">
        <f t="shared" si="0"/>
        <v>0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488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20968479.437533595</v>
      </c>
      <c r="S44" s="26">
        <f>CUSTOS!$D$37</f>
        <v>20968479.437533595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20968479.437533595</v>
      </c>
    </row>
    <row r="45" spans="1:28" ht="11.25" customHeight="1" x14ac:dyDescent="0.25">
      <c r="K45" s="31" t="s">
        <v>489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-1488091.4083301171</v>
      </c>
      <c r="S45" s="26">
        <f>CUSTOS!$E$37</f>
        <v>-1488091.4083301171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-1488091.4083301171</v>
      </c>
    </row>
    <row r="46" spans="1:28" ht="11.25" customHeight="1" x14ac:dyDescent="0.25">
      <c r="K46" s="31" t="s">
        <v>490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74" priority="33" operator="notEqual">
      <formula>$L$46</formula>
    </cfRule>
    <cfRule type="cellIs" dxfId="673" priority="34" operator="equal">
      <formula>$L$46</formula>
    </cfRule>
  </conditionalFormatting>
  <conditionalFormatting sqref="M43">
    <cfRule type="cellIs" dxfId="672" priority="31" operator="notEqual">
      <formula>$M$46</formula>
    </cfRule>
    <cfRule type="cellIs" dxfId="671" priority="32" operator="equal">
      <formula>$M$46</formula>
    </cfRule>
  </conditionalFormatting>
  <conditionalFormatting sqref="N43">
    <cfRule type="cellIs" dxfId="670" priority="29" operator="notEqual">
      <formula>$N$46</formula>
    </cfRule>
    <cfRule type="cellIs" dxfId="669" priority="30" operator="equal">
      <formula>$N$46</formula>
    </cfRule>
  </conditionalFormatting>
  <conditionalFormatting sqref="O43">
    <cfRule type="cellIs" dxfId="668" priority="27" operator="notEqual">
      <formula>$O$46</formula>
    </cfRule>
    <cfRule type="cellIs" dxfId="667" priority="28" operator="equal">
      <formula>$O$46</formula>
    </cfRule>
  </conditionalFormatting>
  <conditionalFormatting sqref="P43">
    <cfRule type="cellIs" dxfId="666" priority="25" operator="notEqual">
      <formula>$P$46</formula>
    </cfRule>
    <cfRule type="cellIs" dxfId="665" priority="26" operator="equal">
      <formula>$P$46</formula>
    </cfRule>
  </conditionalFormatting>
  <conditionalFormatting sqref="Q43">
    <cfRule type="cellIs" dxfId="664" priority="23" operator="notEqual">
      <formula>$Q$46</formula>
    </cfRule>
    <cfRule type="cellIs" dxfId="663" priority="24" operator="equal">
      <formula>$Q$46</formula>
    </cfRule>
  </conditionalFormatting>
  <conditionalFormatting sqref="R43">
    <cfRule type="cellIs" dxfId="662" priority="21" operator="notEqual">
      <formula>$R$46</formula>
    </cfRule>
    <cfRule type="cellIs" dxfId="661" priority="22" operator="equal">
      <formula>$R$46</formula>
    </cfRule>
  </conditionalFormatting>
  <conditionalFormatting sqref="S43">
    <cfRule type="cellIs" dxfId="660" priority="19" operator="notEqual">
      <formula>$S$46</formula>
    </cfRule>
    <cfRule type="cellIs" dxfId="659" priority="20" operator="equal">
      <formula>$S$46</formula>
    </cfRule>
  </conditionalFormatting>
  <conditionalFormatting sqref="T43">
    <cfRule type="cellIs" dxfId="658" priority="17" operator="notEqual">
      <formula>$T$46</formula>
    </cfRule>
    <cfRule type="cellIs" dxfId="657" priority="18" operator="equal">
      <formula>$T$46</formula>
    </cfRule>
  </conditionalFormatting>
  <conditionalFormatting sqref="U43">
    <cfRule type="cellIs" dxfId="656" priority="15" operator="notEqual">
      <formula>$U$46</formula>
    </cfRule>
    <cfRule type="cellIs" dxfId="655" priority="16" operator="equal">
      <formula>$U$46</formula>
    </cfRule>
  </conditionalFormatting>
  <conditionalFormatting sqref="V43">
    <cfRule type="cellIs" dxfId="654" priority="13" operator="notEqual">
      <formula>$V$46</formula>
    </cfRule>
    <cfRule type="cellIs" dxfId="653" priority="14" operator="equal">
      <formula>$V$46</formula>
    </cfRule>
  </conditionalFormatting>
  <conditionalFormatting sqref="W43">
    <cfRule type="cellIs" dxfId="652" priority="11" operator="notEqual">
      <formula>$W$46</formula>
    </cfRule>
    <cfRule type="cellIs" dxfId="651" priority="12" operator="equal">
      <formula>$W$46</formula>
    </cfRule>
  </conditionalFormatting>
  <conditionalFormatting sqref="X43">
    <cfRule type="cellIs" dxfId="650" priority="9" operator="notEqual">
      <formula>$X$46</formula>
    </cfRule>
    <cfRule type="cellIs" dxfId="649" priority="10" operator="equal">
      <formula>$X$46</formula>
    </cfRule>
  </conditionalFormatting>
  <conditionalFormatting sqref="Y43">
    <cfRule type="cellIs" dxfId="648" priority="7" operator="notEqual">
      <formula>$Y$46</formula>
    </cfRule>
    <cfRule type="cellIs" dxfId="647" priority="8" operator="equal">
      <formula>$Y$46</formula>
    </cfRule>
  </conditionalFormatting>
  <conditionalFormatting sqref="Z43">
    <cfRule type="cellIs" dxfId="646" priority="5" operator="notEqual">
      <formula>$Z$46</formula>
    </cfRule>
    <cfRule type="cellIs" dxfId="645" priority="6" operator="equal">
      <formula>$Z$46</formula>
    </cfRule>
  </conditionalFormatting>
  <conditionalFormatting sqref="AA43">
    <cfRule type="cellIs" dxfId="644" priority="3" operator="notEqual">
      <formula>$AA$46</formula>
    </cfRule>
    <cfRule type="cellIs" dxfId="643" priority="4" operator="equal">
      <formula>$AA$46</formula>
    </cfRule>
  </conditionalFormatting>
  <conditionalFormatting sqref="AB43">
    <cfRule type="cellIs" dxfId="642" priority="1" operator="notEqual">
      <formula>$AB$46</formula>
    </cfRule>
    <cfRule type="cellIs" dxfId="64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89E2-20AA-411E-A08D-F1F24C31657A}">
  <dimension ref="A1:AV548"/>
  <sheetViews>
    <sheetView showGridLines="0" topLeftCell="AE1" workbookViewId="0">
      <selection activeCell="AT13" sqref="AT13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7" width="10.855468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I1" s="40" t="s">
        <v>62</v>
      </c>
      <c r="AJ1" s="40" t="s">
        <v>623</v>
      </c>
      <c r="AK1" s="40" t="s">
        <v>624</v>
      </c>
      <c r="AL1" s="40" t="s">
        <v>625</v>
      </c>
      <c r="AN1" s="40" t="s">
        <v>62</v>
      </c>
      <c r="AO1" s="40" t="s">
        <v>626</v>
      </c>
      <c r="AP1" s="40" t="s">
        <v>627</v>
      </c>
      <c r="AQ1" s="40" t="s">
        <v>625</v>
      </c>
      <c r="AS1" s="40" t="s">
        <v>62</v>
      </c>
      <c r="AT1" s="40" t="s">
        <v>628</v>
      </c>
      <c r="AU1" s="40" t="s">
        <v>629</v>
      </c>
      <c r="AV1" s="40" t="s">
        <v>625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3256</v>
      </c>
      <c r="K2" s="4">
        <v>3256</v>
      </c>
      <c r="L2" s="4">
        <v>1435.625</v>
      </c>
      <c r="M2" s="4">
        <v>1435.625</v>
      </c>
      <c r="N2" s="4">
        <v>1435.625</v>
      </c>
      <c r="O2" s="4">
        <v>1435.625</v>
      </c>
      <c r="P2" s="4">
        <v>0</v>
      </c>
      <c r="Q2" s="3" t="s">
        <v>26</v>
      </c>
      <c r="R2" s="3">
        <v>0</v>
      </c>
      <c r="S2" s="4">
        <v>28</v>
      </c>
      <c r="T2" s="4">
        <v>29</v>
      </c>
      <c r="U2" s="4">
        <v>61</v>
      </c>
      <c r="V2" s="4">
        <f>IF(ISERROR(VLOOKUP($S$2,'TAR FIN'!$A$1:$O$88,15,0)),0,VLOOKUP($S$2,'TAR FIN'!$A$1:$O$88,15,0))</f>
        <v>34.479999999999997</v>
      </c>
      <c r="W2" s="4">
        <f>IF(ISERROR(VLOOKUP($T$2,'TAR FIN'!$A$1:$O$88,15,0)),0,VLOOKUP($T$2,'TAR FIN'!$A$1:$O$88,15,0))</f>
        <v>60.38</v>
      </c>
      <c r="X2" s="4">
        <f>IF(ISERROR(VLOOKUP($U$2,'TAR FIN'!$A$1:$O$88,15,0)),0,VLOOKUP($U$2,'TAR FIN'!$A$1:$O$88,15,0))</f>
        <v>150.26</v>
      </c>
      <c r="Y2" s="4">
        <f ca="1">('TUSD BE'!$AM$6+'TUSD BF'!$AM$6+'TUSD CVA'!$AM$6)*1</f>
        <v>37.721850071081427</v>
      </c>
      <c r="Z2" s="4">
        <f ca="1">('TUSD BE'!$AM$7+'TUSD BF'!$AM$7+'TUSD CVA'!$AM$7)*1</f>
        <v>94.517694765168258</v>
      </c>
      <c r="AA2" s="4">
        <f>('TE BE'!$AB$6+'TE BF'!$AB$6+'TE CVA'!$AB$6)*1</f>
        <v>136.62265710865657</v>
      </c>
      <c r="AB2" s="4">
        <f>$K$2*$V$2</f>
        <v>112266.87999999999</v>
      </c>
      <c r="AC2" s="4">
        <f>$M$2*$W$2</f>
        <v>86683.037500000006</v>
      </c>
      <c r="AD2" s="4">
        <f>$O$2*$X$2</f>
        <v>215717.01249999998</v>
      </c>
      <c r="AE2" s="4">
        <f ca="1">$K$2*$Y$2</f>
        <v>122822.34383144113</v>
      </c>
      <c r="AF2" s="4">
        <f ca="1">$M$2*$Z$2</f>
        <v>135691.96554724468</v>
      </c>
      <c r="AG2" s="4">
        <f>$O$2*$AA$2</f>
        <v>196138.90211161508</v>
      </c>
      <c r="AI2" s="41" t="s">
        <v>35</v>
      </c>
      <c r="AJ2" s="42">
        <f>SUMIF($B$2:$B$548,AI2,$AB$2:$AB$548)+SUMIF($B$2:$B$548,AI2,$AC$2:$AC$548)</f>
        <v>20617691.814392403</v>
      </c>
      <c r="AK2" s="42">
        <f ca="1">SUMIF($B$2:$B$548,AI2,$AE$2:$AE$548)+SUMIF($B$2:$B$548,AI2,$AF$2:$AF$548)</f>
        <v>24650280.653403208</v>
      </c>
      <c r="AL2" s="43">
        <f t="shared" ref="AL2:AL9" ca="1" si="0">IF(AJ2&lt;&gt;0,AK2/AJ2-1,0)</f>
        <v>0.19558876305425299</v>
      </c>
      <c r="AN2" s="41" t="s">
        <v>35</v>
      </c>
      <c r="AO2" s="42">
        <f>SUMIF($B$2:$B$548,AN2,$AD$2:$AD$548)</f>
        <v>13578103.258913597</v>
      </c>
      <c r="AP2" s="42">
        <f>SUMIF($B$2:$B$548,AN2,$AG$2:$AG$548)</f>
        <v>12347180.09893672</v>
      </c>
      <c r="AQ2" s="43">
        <f t="shared" ref="AQ2:AQ9" si="1">IF(AO2&lt;&gt;0,AP2/AO2-1,0)</f>
        <v>-9.0655015395380456E-2</v>
      </c>
      <c r="AS2" s="41" t="s">
        <v>35</v>
      </c>
      <c r="AT2" s="42">
        <f>SUMIF($B$2:$B$548,AS2,$AB$2:$AB$548)+SUMIF($B$2:$B$548,AS2,$AC$2:$AC$548)+SUMIF($B$2:$B$548,AS2,$AD$2:$AD$548)</f>
        <v>34195795.073306002</v>
      </c>
      <c r="AU2" s="42">
        <f ca="1">SUMIF($B$2:$B$548,AS2,$AE$2:$AE$548)+SUMIF($B$2:$B$548,AS2,$AF$2:$AF$548)+SUMIF($B$2:$B$548,AS2,$AG$2:$AG$548)</f>
        <v>36997460.752339929</v>
      </c>
      <c r="AV2" s="43">
        <f t="shared" ref="AV2:AV9" ca="1" si="2">IF(AT2&lt;&gt;0,AU2/AT2-1,0)</f>
        <v>8.1930122491024271E-2</v>
      </c>
    </row>
    <row r="3" spans="1:48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3485</v>
      </c>
      <c r="K3" s="4">
        <v>3485</v>
      </c>
      <c r="L3" s="4">
        <v>1528.7159999999999</v>
      </c>
      <c r="M3" s="4">
        <v>1528.7159999999999</v>
      </c>
      <c r="N3" s="4">
        <v>1528.7159999999999</v>
      </c>
      <c r="O3" s="4">
        <v>1528.7159999999999</v>
      </c>
      <c r="P3" s="4">
        <v>0</v>
      </c>
      <c r="Q3" s="3" t="s">
        <v>26</v>
      </c>
      <c r="R3" s="3">
        <v>0</v>
      </c>
      <c r="S3" s="4">
        <v>28</v>
      </c>
      <c r="T3" s="4">
        <v>29</v>
      </c>
      <c r="U3" s="4">
        <v>61</v>
      </c>
      <c r="V3" s="4">
        <f>IF(ISERROR(VLOOKUP($S$3,'TAR FIN'!$A$1:$O$88,15,0)),0,VLOOKUP($S$3,'TAR FIN'!$A$1:$O$88,15,0))</f>
        <v>34.479999999999997</v>
      </c>
      <c r="W3" s="4">
        <f>IF(ISERROR(VLOOKUP($T$3,'TAR FIN'!$A$1:$O$88,15,0)),0,VLOOKUP($T$3,'TAR FIN'!$A$1:$O$88,15,0))</f>
        <v>60.38</v>
      </c>
      <c r="X3" s="4">
        <f>IF(ISERROR(VLOOKUP($U$3,'TAR FIN'!$A$1:$O$88,15,0)),0,VLOOKUP($U$3,'TAR FIN'!$A$1:$O$88,15,0))</f>
        <v>150.26</v>
      </c>
      <c r="Y3" s="4">
        <f ca="1">('TUSD BE'!$AM$6+'TUSD BF'!$AM$6+'TUSD CVA'!$AM$6)*1</f>
        <v>37.721850071081427</v>
      </c>
      <c r="Z3" s="4">
        <f ca="1">('TUSD BE'!$AM$7+'TUSD BF'!$AM$7+'TUSD CVA'!$AM$7)*1</f>
        <v>94.517694765168258</v>
      </c>
      <c r="AA3" s="4">
        <f>('TE BE'!$AB$6+'TE BF'!$AB$6+'TE CVA'!$AB$6)*1</f>
        <v>136.62265710865657</v>
      </c>
      <c r="AB3" s="4">
        <f>$K$3*$V$3</f>
        <v>120162.79999999999</v>
      </c>
      <c r="AC3" s="4">
        <f>$M$3*$W$3</f>
        <v>92303.872080000001</v>
      </c>
      <c r="AD3" s="4">
        <f>$O$3*$X$3</f>
        <v>229704.86615999998</v>
      </c>
      <c r="AE3" s="4">
        <f ca="1">$K$3*$Y$3</f>
        <v>131460.64749771878</v>
      </c>
      <c r="AF3" s="4">
        <f ca="1">$M$3*$Z$3</f>
        <v>144490.71227062895</v>
      </c>
      <c r="AG3" s="4">
        <f>$O$3*$AA$3</f>
        <v>208857.24188451702</v>
      </c>
      <c r="AI3" s="41" t="s">
        <v>22</v>
      </c>
      <c r="AJ3" s="42">
        <f>SUMIF($B$2:$B$548,AI3,$AB$2:$AB$548)+SUMIF($B$2:$B$548,AI3,$AC$2:$AC$548)</f>
        <v>15568361.839269998</v>
      </c>
      <c r="AK3" s="42">
        <f ca="1">SUMIF($B$2:$B$548,AI3,$AE$2:$AE$548)+SUMIF($B$2:$B$548,AI3,$AF$2:$AF$548)</f>
        <v>18292019.575969212</v>
      </c>
      <c r="AL3" s="43">
        <f t="shared" ca="1" si="0"/>
        <v>0.1749482549813941</v>
      </c>
      <c r="AN3" s="41" t="s">
        <v>22</v>
      </c>
      <c r="AO3" s="42">
        <f>SUMIF($B$2:$B$548,AN3,$AD$2:$AD$548)</f>
        <v>4682687.6885400005</v>
      </c>
      <c r="AP3" s="42">
        <f>SUMIF($B$2:$B$548,AN3,$AG$2:$AG$548)</f>
        <v>4257690.8754736735</v>
      </c>
      <c r="AQ3" s="43">
        <f t="shared" si="1"/>
        <v>-9.0759162543858518E-2</v>
      </c>
      <c r="AS3" s="41" t="s">
        <v>22</v>
      </c>
      <c r="AT3" s="42">
        <f>SUMIF($B$2:$B$548,AS3,$AB$2:$AB$548)+SUMIF($B$2:$B$548,AS3,$AC$2:$AC$548)+SUMIF($B$2:$B$548,AS3,$AD$2:$AD$548)</f>
        <v>20251049.52781</v>
      </c>
      <c r="AU3" s="42">
        <f ca="1">SUMIF($B$2:$B$548,AS3,$AE$2:$AE$548)+SUMIF($B$2:$B$548,AS3,$AF$2:$AF$548)+SUMIF($B$2:$B$548,AS3,$AG$2:$AG$548)</f>
        <v>22549710.451442886</v>
      </c>
      <c r="AV3" s="43">
        <f t="shared" ca="1" si="2"/>
        <v>0.11350823672008814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3686</v>
      </c>
      <c r="K4" s="4">
        <v>3686</v>
      </c>
      <c r="L4" s="4">
        <v>1584.982</v>
      </c>
      <c r="M4" s="4">
        <v>1584.982</v>
      </c>
      <c r="N4" s="4">
        <v>1584.982</v>
      </c>
      <c r="O4" s="4">
        <v>1584.982</v>
      </c>
      <c r="P4" s="4">
        <v>0</v>
      </c>
      <c r="Q4" s="3" t="s">
        <v>26</v>
      </c>
      <c r="R4" s="3">
        <v>0</v>
      </c>
      <c r="S4" s="4">
        <v>28</v>
      </c>
      <c r="T4" s="4">
        <v>29</v>
      </c>
      <c r="U4" s="4">
        <v>61</v>
      </c>
      <c r="V4" s="4">
        <f>IF(ISERROR(VLOOKUP($S$4,'TAR FIN'!$A$1:$O$88,15,0)),0,VLOOKUP($S$4,'TAR FIN'!$A$1:$O$88,15,0))</f>
        <v>34.479999999999997</v>
      </c>
      <c r="W4" s="4">
        <f>IF(ISERROR(VLOOKUP($T$4,'TAR FIN'!$A$1:$O$88,15,0)),0,VLOOKUP($T$4,'TAR FIN'!$A$1:$O$88,15,0))</f>
        <v>60.38</v>
      </c>
      <c r="X4" s="4">
        <f>IF(ISERROR(VLOOKUP($U$4,'TAR FIN'!$A$1:$O$88,15,0)),0,VLOOKUP($U$4,'TAR FIN'!$A$1:$O$88,15,0))</f>
        <v>150.26</v>
      </c>
      <c r="Y4" s="4">
        <f ca="1">('TUSD BE'!$AM$6+'TUSD BF'!$AM$6+'TUSD CVA'!$AM$6)*1</f>
        <v>37.721850071081427</v>
      </c>
      <c r="Z4" s="4">
        <f ca="1">('TUSD BE'!$AM$7+'TUSD BF'!$AM$7+'TUSD CVA'!$AM$7)*1</f>
        <v>94.517694765168258</v>
      </c>
      <c r="AA4" s="4">
        <f>('TE BE'!$AB$6+'TE BF'!$AB$6+'TE CVA'!$AB$6)*1</f>
        <v>136.62265710865657</v>
      </c>
      <c r="AB4" s="4">
        <f>$K$4*$V$4</f>
        <v>127093.27999999998</v>
      </c>
      <c r="AC4" s="4">
        <f>$M$4*$W$4</f>
        <v>95701.213159999999</v>
      </c>
      <c r="AD4" s="4">
        <f>$O$4*$X$4</f>
        <v>238159.39531999998</v>
      </c>
      <c r="AE4" s="4">
        <f ca="1">$K$4*$Y$4</f>
        <v>139042.73936200613</v>
      </c>
      <c r="AF4" s="4">
        <f ca="1">$M$4*$Z$4</f>
        <v>149808.84488428591</v>
      </c>
      <c r="AG4" s="4">
        <f>$O$4*$AA$4</f>
        <v>216544.45230939271</v>
      </c>
      <c r="AI4" s="41" t="s">
        <v>43</v>
      </c>
      <c r="AJ4" s="42">
        <f>SUMIF($B$2:$B$548,AI4,$AB$2:$AB$548)+SUMIF($B$2:$B$548,AI4,$AC$2:$AC$548)</f>
        <v>1410331.5253019996</v>
      </c>
      <c r="AK4" s="42">
        <f ca="1">SUMIF($B$2:$B$548,AI4,$AE$2:$AE$548)+SUMIF($B$2:$B$548,AI4,$AF$2:$AF$548)</f>
        <v>1773021.1090557214</v>
      </c>
      <c r="AL4" s="43">
        <f t="shared" ca="1" si="0"/>
        <v>0.2571661891171706</v>
      </c>
      <c r="AN4" s="41" t="s">
        <v>43</v>
      </c>
      <c r="AO4" s="42">
        <f>SUMIF($B$2:$B$548,AN4,$AD$2:$AD$548)</f>
        <v>422578.54476600001</v>
      </c>
      <c r="AP4" s="42">
        <f>SUMIF($B$2:$B$548,AN4,$AG$2:$AG$548)</f>
        <v>410419.53721287067</v>
      </c>
      <c r="AQ4" s="43">
        <f t="shared" si="1"/>
        <v>-2.877336699586186E-2</v>
      </c>
      <c r="AS4" s="41" t="s">
        <v>43</v>
      </c>
      <c r="AT4" s="42">
        <f>SUMIF($B$2:$B$548,AS4,$AB$2:$AB$548)+SUMIF($B$2:$B$548,AS4,$AC$2:$AC$548)+SUMIF($B$2:$B$548,AS4,$AD$2:$AD$548)</f>
        <v>1832910.0700679997</v>
      </c>
      <c r="AU4" s="42">
        <f ca="1">SUMIF($B$2:$B$548,AS4,$AE$2:$AE$548)+SUMIF($B$2:$B$548,AS4,$AF$2:$AF$548)+SUMIF($B$2:$B$548,AS4,$AG$2:$AG$548)</f>
        <v>2183440.6462685922</v>
      </c>
      <c r="AV4" s="43">
        <f t="shared" ca="1" si="2"/>
        <v>0.19124264846642913</v>
      </c>
    </row>
    <row r="5" spans="1:48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3685</v>
      </c>
      <c r="K5" s="4">
        <v>3685</v>
      </c>
      <c r="L5" s="4">
        <v>1325.4169999999999</v>
      </c>
      <c r="M5" s="4">
        <v>1325.4169999999999</v>
      </c>
      <c r="N5" s="4">
        <v>1325.4169999999999</v>
      </c>
      <c r="O5" s="4">
        <v>1325.4169999999999</v>
      </c>
      <c r="P5" s="4">
        <v>0</v>
      </c>
      <c r="Q5" s="3" t="s">
        <v>26</v>
      </c>
      <c r="R5" s="3">
        <v>0</v>
      </c>
      <c r="S5" s="4">
        <v>28</v>
      </c>
      <c r="T5" s="4">
        <v>29</v>
      </c>
      <c r="U5" s="4">
        <v>61</v>
      </c>
      <c r="V5" s="4">
        <f>IF(ISERROR(VLOOKUP($S$5,'TAR FIN'!$A$1:$O$88,15,0)),0,VLOOKUP($S$5,'TAR FIN'!$A$1:$O$88,15,0))</f>
        <v>34.479999999999997</v>
      </c>
      <c r="W5" s="4">
        <f>IF(ISERROR(VLOOKUP($T$5,'TAR FIN'!$A$1:$O$88,15,0)),0,VLOOKUP($T$5,'TAR FIN'!$A$1:$O$88,15,0))</f>
        <v>60.38</v>
      </c>
      <c r="X5" s="4">
        <f>IF(ISERROR(VLOOKUP($U$5,'TAR FIN'!$A$1:$O$88,15,0)),0,VLOOKUP($U$5,'TAR FIN'!$A$1:$O$88,15,0))</f>
        <v>150.26</v>
      </c>
      <c r="Y5" s="4">
        <f ca="1">('TUSD BE'!$AM$6+'TUSD BF'!$AM$6+'TUSD CVA'!$AM$6)*1</f>
        <v>37.721850071081427</v>
      </c>
      <c r="Z5" s="4">
        <f ca="1">('TUSD BE'!$AM$7+'TUSD BF'!$AM$7+'TUSD CVA'!$AM$7)*1</f>
        <v>94.517694765168258</v>
      </c>
      <c r="AA5" s="4">
        <f>('TE BE'!$AB$6+'TE BF'!$AB$6+'TE CVA'!$AB$6)*1</f>
        <v>136.62265710865657</v>
      </c>
      <c r="AB5" s="4">
        <f>$K$5*$V$5</f>
        <v>127058.79999999999</v>
      </c>
      <c r="AC5" s="4">
        <f>$M$5*$W$5</f>
        <v>80028.678459999996</v>
      </c>
      <c r="AD5" s="4">
        <f>$O$5*$X$5</f>
        <v>199157.15841999996</v>
      </c>
      <c r="AE5" s="4">
        <f ca="1">$K$5*$Y$5</f>
        <v>139005.01751193506</v>
      </c>
      <c r="AF5" s="4">
        <f ca="1">$M$5*$Z$5</f>
        <v>125275.35944256501</v>
      </c>
      <c r="AG5" s="4">
        <f>$O$5*$AA$5</f>
        <v>181081.99231698425</v>
      </c>
      <c r="AI5" s="41" t="s">
        <v>33</v>
      </c>
      <c r="AJ5" s="42">
        <f>SUMIF($B$2:$B$548,AI5,$AB$2:$AB$548)+SUMIF($B$2:$B$548,AI5,$AC$2:$AC$548)</f>
        <v>7340654.1461336017</v>
      </c>
      <c r="AK5" s="42">
        <f ca="1">SUMIF($B$2:$B$548,AI5,$AE$2:$AE$548)+SUMIF($B$2:$B$548,AI5,$AF$2:$AF$548)</f>
        <v>8643847.1556966808</v>
      </c>
      <c r="AL5" s="43">
        <f t="shared" ca="1" si="0"/>
        <v>0.17753090986441378</v>
      </c>
      <c r="AN5" s="41" t="s">
        <v>33</v>
      </c>
      <c r="AO5" s="42">
        <f>SUMIF($B$2:$B$548,AN5,$AD$2:$AD$548)</f>
        <v>2201826.9191731983</v>
      </c>
      <c r="AP5" s="42">
        <f>SUMIF($B$2:$B$548,AN5,$AG$2:$AG$548)</f>
        <v>2002985.5528713847</v>
      </c>
      <c r="AQ5" s="43">
        <f t="shared" si="1"/>
        <v>-9.0307446316661433E-2</v>
      </c>
      <c r="AS5" s="41" t="s">
        <v>33</v>
      </c>
      <c r="AT5" s="42">
        <f>SUMIF($B$2:$B$548,AS5,$AB$2:$AB$548)+SUMIF($B$2:$B$548,AS5,$AC$2:$AC$548)+SUMIF($B$2:$B$548,AS5,$AD$2:$AD$548)</f>
        <v>9542481.0653067995</v>
      </c>
      <c r="AU5" s="42">
        <f ca="1">SUMIF($B$2:$B$548,AS5,$AE$2:$AE$548)+SUMIF($B$2:$B$548,AS5,$AF$2:$AF$548)+SUMIF($B$2:$B$548,AS5,$AG$2:$AG$548)</f>
        <v>10646832.708568066</v>
      </c>
      <c r="AV5" s="43">
        <f t="shared" ca="1" si="2"/>
        <v>0.11573003244159552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3450</v>
      </c>
      <c r="K6" s="4">
        <v>3450</v>
      </c>
      <c r="L6" s="4">
        <v>1291.193</v>
      </c>
      <c r="M6" s="4">
        <v>1291.193</v>
      </c>
      <c r="N6" s="4">
        <v>1291.193</v>
      </c>
      <c r="O6" s="4">
        <v>1291.193</v>
      </c>
      <c r="P6" s="4">
        <v>0</v>
      </c>
      <c r="Q6" s="3" t="s">
        <v>26</v>
      </c>
      <c r="R6" s="3">
        <v>0</v>
      </c>
      <c r="S6" s="4">
        <v>28</v>
      </c>
      <c r="T6" s="4">
        <v>29</v>
      </c>
      <c r="U6" s="4">
        <v>61</v>
      </c>
      <c r="V6" s="4">
        <f>IF(ISERROR(VLOOKUP($S$6,'TAR FIN'!$A$1:$O$88,15,0)),0,VLOOKUP($S$6,'TAR FIN'!$A$1:$O$88,15,0))</f>
        <v>34.479999999999997</v>
      </c>
      <c r="W6" s="4">
        <f>IF(ISERROR(VLOOKUP($T$6,'TAR FIN'!$A$1:$O$88,15,0)),0,VLOOKUP($T$6,'TAR FIN'!$A$1:$O$88,15,0))</f>
        <v>60.38</v>
      </c>
      <c r="X6" s="4">
        <f>IF(ISERROR(VLOOKUP($U$6,'TAR FIN'!$A$1:$O$88,15,0)),0,VLOOKUP($U$6,'TAR FIN'!$A$1:$O$88,15,0))</f>
        <v>150.26</v>
      </c>
      <c r="Y6" s="4">
        <f ca="1">('TUSD BE'!$AM$6+'TUSD BF'!$AM$6+'TUSD CVA'!$AM$6)*1</f>
        <v>37.721850071081427</v>
      </c>
      <c r="Z6" s="4">
        <f ca="1">('TUSD BE'!$AM$7+'TUSD BF'!$AM$7+'TUSD CVA'!$AM$7)*1</f>
        <v>94.517694765168258</v>
      </c>
      <c r="AA6" s="4">
        <f>('TE BE'!$AB$6+'TE BF'!$AB$6+'TE CVA'!$AB$6)*1</f>
        <v>136.62265710865657</v>
      </c>
      <c r="AB6" s="4">
        <f>$K$6*$V$6</f>
        <v>118955.99999999999</v>
      </c>
      <c r="AC6" s="4">
        <f>$M$6*$W$6</f>
        <v>77962.233340000006</v>
      </c>
      <c r="AD6" s="4">
        <f>$O$6*$X$6</f>
        <v>194014.66017999998</v>
      </c>
      <c r="AE6" s="4">
        <f ca="1">$K$6*$Y$6</f>
        <v>130140.38274523092</v>
      </c>
      <c r="AF6" s="4">
        <f ca="1">$M$6*$Z$6</f>
        <v>122040.5858569219</v>
      </c>
      <c r="AG6" s="4">
        <f>$O$6*$AA$6</f>
        <v>176406.2185000976</v>
      </c>
      <c r="AI6" s="41" t="s">
        <v>46</v>
      </c>
      <c r="AJ6" s="42">
        <f>SUMIF($B$2:$B$548,AI6,$AB$2:$AB$548)+SUMIF($B$2:$B$548,AI6,$AC$2:$AC$548)</f>
        <v>1416904.4408400001</v>
      </c>
      <c r="AK6" s="42">
        <f ca="1">SUMIF($B$2:$B$548,AI6,$AE$2:$AE$548)+SUMIF($B$2:$B$548,AI6,$AF$2:$AF$548)</f>
        <v>1667577.7973736299</v>
      </c>
      <c r="AL6" s="43">
        <f t="shared" ca="1" si="0"/>
        <v>0.17691620500887151</v>
      </c>
      <c r="AN6" s="41" t="s">
        <v>46</v>
      </c>
      <c r="AO6" s="42">
        <f>SUMIF($B$2:$B$548,AN6,$AD$2:$AD$548)</f>
        <v>424526.80368000001</v>
      </c>
      <c r="AP6" s="42">
        <f>SUMIF($B$2:$B$548,AN6,$AG$2:$AG$548)</f>
        <v>386011.4830945502</v>
      </c>
      <c r="AQ6" s="43">
        <f t="shared" si="1"/>
        <v>-9.0725297558553963E-2</v>
      </c>
      <c r="AS6" s="41" t="s">
        <v>46</v>
      </c>
      <c r="AT6" s="42">
        <f>SUMIF($B$2:$B$548,AS6,$AB$2:$AB$548)+SUMIF($B$2:$B$548,AS6,$AC$2:$AC$548)+SUMIF($B$2:$B$548,AS6,$AD$2:$AD$548)</f>
        <v>1841431.2445200002</v>
      </c>
      <c r="AU6" s="42">
        <f ca="1">SUMIF($B$2:$B$548,AS6,$AE$2:$AE$548)+SUMIF($B$2:$B$548,AS6,$AF$2:$AF$548)+SUMIF($B$2:$B$548,AS6,$AG$2:$AG$548)</f>
        <v>2053589.2804681801</v>
      </c>
      <c r="AV6" s="43">
        <f t="shared" ca="1" si="2"/>
        <v>0.11521366142751766</v>
      </c>
    </row>
    <row r="7" spans="1:48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4000</v>
      </c>
      <c r="K7" s="4">
        <v>4000</v>
      </c>
      <c r="L7" s="4">
        <v>1242.145</v>
      </c>
      <c r="M7" s="4">
        <v>1242.145</v>
      </c>
      <c r="N7" s="4">
        <v>1242.145</v>
      </c>
      <c r="O7" s="4">
        <v>1242.145</v>
      </c>
      <c r="P7" s="4">
        <v>0</v>
      </c>
      <c r="Q7" s="3" t="s">
        <v>26</v>
      </c>
      <c r="R7" s="3">
        <v>0</v>
      </c>
      <c r="S7" s="4">
        <v>28</v>
      </c>
      <c r="T7" s="4">
        <v>29</v>
      </c>
      <c r="U7" s="4">
        <v>61</v>
      </c>
      <c r="V7" s="4">
        <f>IF(ISERROR(VLOOKUP($S$7,'TAR FIN'!$A$1:$O$88,15,0)),0,VLOOKUP($S$7,'TAR FIN'!$A$1:$O$88,15,0))</f>
        <v>34.479999999999997</v>
      </c>
      <c r="W7" s="4">
        <f>IF(ISERROR(VLOOKUP($T$7,'TAR FIN'!$A$1:$O$88,15,0)),0,VLOOKUP($T$7,'TAR FIN'!$A$1:$O$88,15,0))</f>
        <v>60.38</v>
      </c>
      <c r="X7" s="4">
        <f>IF(ISERROR(VLOOKUP($U$7,'TAR FIN'!$A$1:$O$88,15,0)),0,VLOOKUP($U$7,'TAR FIN'!$A$1:$O$88,15,0))</f>
        <v>150.26</v>
      </c>
      <c r="Y7" s="4">
        <f ca="1">('TUSD BE'!$AM$6+'TUSD BF'!$AM$6+'TUSD CVA'!$AM$6)*1</f>
        <v>37.721850071081427</v>
      </c>
      <c r="Z7" s="4">
        <f ca="1">('TUSD BE'!$AM$7+'TUSD BF'!$AM$7+'TUSD CVA'!$AM$7)*1</f>
        <v>94.517694765168258</v>
      </c>
      <c r="AA7" s="4">
        <f>('TE BE'!$AB$6+'TE BF'!$AB$6+'TE CVA'!$AB$6)*1</f>
        <v>136.62265710865657</v>
      </c>
      <c r="AB7" s="4">
        <f>$K$7*$V$7</f>
        <v>137920</v>
      </c>
      <c r="AC7" s="4">
        <f>$M$7*$W$7</f>
        <v>75000.715100000001</v>
      </c>
      <c r="AD7" s="4">
        <f>$O$7*$X$7</f>
        <v>186644.7077</v>
      </c>
      <c r="AE7" s="4">
        <f ca="1">$K$7*$Y$7</f>
        <v>150887.4002843257</v>
      </c>
      <c r="AF7" s="4">
        <f ca="1">$M$7*$Z$7</f>
        <v>117404.68196407992</v>
      </c>
      <c r="AG7" s="4">
        <f>$O$7*$AA$7</f>
        <v>169705.15041423222</v>
      </c>
      <c r="AI7" s="41" t="s">
        <v>630</v>
      </c>
      <c r="AJ7" s="42">
        <f>+$AJ$2</f>
        <v>20617691.814392403</v>
      </c>
      <c r="AK7" s="42">
        <f ca="1">+$AK$2</f>
        <v>24650280.653403208</v>
      </c>
      <c r="AL7" s="43">
        <f t="shared" ca="1" si="0"/>
        <v>0.19558876305425299</v>
      </c>
      <c r="AN7" s="41" t="s">
        <v>630</v>
      </c>
      <c r="AO7" s="42">
        <f>+$AO$2</f>
        <v>13578103.258913597</v>
      </c>
      <c r="AP7" s="42">
        <f>+$AP$2</f>
        <v>12347180.09893672</v>
      </c>
      <c r="AQ7" s="43">
        <f t="shared" si="1"/>
        <v>-9.0655015395380456E-2</v>
      </c>
      <c r="AS7" s="41" t="s">
        <v>630</v>
      </c>
      <c r="AT7" s="42">
        <f>+$AT$2</f>
        <v>34195795.073306002</v>
      </c>
      <c r="AU7" s="42">
        <f ca="1">+$AU$2</f>
        <v>36997460.752339929</v>
      </c>
      <c r="AV7" s="43">
        <f t="shared" ca="1" si="2"/>
        <v>8.1930122491024271E-2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3950</v>
      </c>
      <c r="K8" s="4">
        <v>3950</v>
      </c>
      <c r="L8" s="4">
        <v>1076.934</v>
      </c>
      <c r="M8" s="4">
        <v>1076.934</v>
      </c>
      <c r="N8" s="4">
        <v>1076.934</v>
      </c>
      <c r="O8" s="4">
        <v>1076.934</v>
      </c>
      <c r="P8" s="4">
        <v>0</v>
      </c>
      <c r="Q8" s="3" t="s">
        <v>26</v>
      </c>
      <c r="R8" s="3">
        <v>0</v>
      </c>
      <c r="S8" s="4">
        <v>28</v>
      </c>
      <c r="T8" s="4">
        <v>29</v>
      </c>
      <c r="U8" s="4">
        <v>61</v>
      </c>
      <c r="V8" s="4">
        <f>IF(ISERROR(VLOOKUP($S$8,'TAR FIN'!$A$1:$O$88,15,0)),0,VLOOKUP($S$8,'TAR FIN'!$A$1:$O$88,15,0))</f>
        <v>34.479999999999997</v>
      </c>
      <c r="W8" s="4">
        <f>IF(ISERROR(VLOOKUP($T$8,'TAR FIN'!$A$1:$O$88,15,0)),0,VLOOKUP($T$8,'TAR FIN'!$A$1:$O$88,15,0))</f>
        <v>60.38</v>
      </c>
      <c r="X8" s="4">
        <f>IF(ISERROR(VLOOKUP($U$8,'TAR FIN'!$A$1:$O$88,15,0)),0,VLOOKUP($U$8,'TAR FIN'!$A$1:$O$88,15,0))</f>
        <v>150.26</v>
      </c>
      <c r="Y8" s="4">
        <f ca="1">('TUSD BE'!$AM$6+'TUSD BF'!$AM$6+'TUSD CVA'!$AM$6)*1</f>
        <v>37.721850071081427</v>
      </c>
      <c r="Z8" s="4">
        <f ca="1">('TUSD BE'!$AM$7+'TUSD BF'!$AM$7+'TUSD CVA'!$AM$7)*1</f>
        <v>94.517694765168258</v>
      </c>
      <c r="AA8" s="4">
        <f>('TE BE'!$AB$6+'TE BF'!$AB$6+'TE CVA'!$AB$6)*1</f>
        <v>136.62265710865657</v>
      </c>
      <c r="AB8" s="4">
        <f>$K$8*$V$8</f>
        <v>136196</v>
      </c>
      <c r="AC8" s="4">
        <f>$M$8*$W$8</f>
        <v>65025.274920000003</v>
      </c>
      <c r="AD8" s="4">
        <f>$O$8*$X$8</f>
        <v>161820.10283999998</v>
      </c>
      <c r="AE8" s="4">
        <f ca="1">$K$8*$Y$8</f>
        <v>149001.30778077163</v>
      </c>
      <c r="AF8" s="4">
        <f ca="1">$M$8*$Z$8</f>
        <v>101789.31909423172</v>
      </c>
      <c r="AG8" s="4">
        <f>$O$8*$AA$8</f>
        <v>147133.58461065395</v>
      </c>
      <c r="AI8" s="41" t="s">
        <v>81</v>
      </c>
      <c r="AJ8" s="42">
        <f>+$AJ$3+$AJ$4+$AJ$5+$AJ$6</f>
        <v>25736251.951545596</v>
      </c>
      <c r="AK8" s="42">
        <f ca="1">+$AK$3+$AK$4+$AK$5+$AK$6</f>
        <v>30376465.638095245</v>
      </c>
      <c r="AL8" s="43">
        <f t="shared" ca="1" si="0"/>
        <v>0.1802987356234278</v>
      </c>
      <c r="AN8" s="41" t="s">
        <v>81</v>
      </c>
      <c r="AO8" s="42">
        <f>+$AO$3+$AO$4+$AO$5+$AO$6</f>
        <v>7731619.9561591977</v>
      </c>
      <c r="AP8" s="42">
        <f>+$AP$3+$AP$4+$AP$5+$AP$6</f>
        <v>7057107.4486524798</v>
      </c>
      <c r="AQ8" s="43">
        <f t="shared" si="1"/>
        <v>-8.7240773774632463E-2</v>
      </c>
      <c r="AS8" s="41" t="s">
        <v>81</v>
      </c>
      <c r="AT8" s="42">
        <f>+$AT$3+$AT$4+$AT$5+$AT$6</f>
        <v>33467871.9077048</v>
      </c>
      <c r="AU8" s="42">
        <f ca="1">+$AU$3+$AU$4+$AU$5+$AU$6</f>
        <v>37433573.086747721</v>
      </c>
      <c r="AV8" s="43">
        <f t="shared" ca="1" si="2"/>
        <v>0.11849277988093276</v>
      </c>
    </row>
    <row r="9" spans="1:48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3402</v>
      </c>
      <c r="K9" s="4">
        <v>3402</v>
      </c>
      <c r="L9" s="4">
        <v>1128.9059999999999</v>
      </c>
      <c r="M9" s="4">
        <v>1128.9059999999999</v>
      </c>
      <c r="N9" s="4">
        <v>1128.9059999999999</v>
      </c>
      <c r="O9" s="4">
        <v>1128.9059999999999</v>
      </c>
      <c r="P9" s="4">
        <v>0</v>
      </c>
      <c r="Q9" s="3" t="s">
        <v>26</v>
      </c>
      <c r="R9" s="3">
        <v>0</v>
      </c>
      <c r="S9" s="4">
        <v>28</v>
      </c>
      <c r="T9" s="4">
        <v>29</v>
      </c>
      <c r="U9" s="4">
        <v>61</v>
      </c>
      <c r="V9" s="4">
        <f>IF(ISERROR(VLOOKUP($S$9,'TAR FIN'!$A$1:$O$88,15,0)),0,VLOOKUP($S$9,'TAR FIN'!$A$1:$O$88,15,0))</f>
        <v>34.479999999999997</v>
      </c>
      <c r="W9" s="4">
        <f>IF(ISERROR(VLOOKUP($T$9,'TAR FIN'!$A$1:$O$88,15,0)),0,VLOOKUP($T$9,'TAR FIN'!$A$1:$O$88,15,0))</f>
        <v>60.38</v>
      </c>
      <c r="X9" s="4">
        <f>IF(ISERROR(VLOOKUP($U$9,'TAR FIN'!$A$1:$O$88,15,0)),0,VLOOKUP($U$9,'TAR FIN'!$A$1:$O$88,15,0))</f>
        <v>150.26</v>
      </c>
      <c r="Y9" s="4">
        <f ca="1">('TUSD BE'!$AM$6+'TUSD BF'!$AM$6+'TUSD CVA'!$AM$6)*1</f>
        <v>37.721850071081427</v>
      </c>
      <c r="Z9" s="4">
        <f ca="1">('TUSD BE'!$AM$7+'TUSD BF'!$AM$7+'TUSD CVA'!$AM$7)*1</f>
        <v>94.517694765168258</v>
      </c>
      <c r="AA9" s="4">
        <f>('TE BE'!$AB$6+'TE BF'!$AB$6+'TE CVA'!$AB$6)*1</f>
        <v>136.62265710865657</v>
      </c>
      <c r="AB9" s="4">
        <f>$K$9*$V$9</f>
        <v>117300.95999999999</v>
      </c>
      <c r="AC9" s="4">
        <f>$M$9*$W$9</f>
        <v>68163.344280000005</v>
      </c>
      <c r="AD9" s="4">
        <f>$O$9*$X$9</f>
        <v>169629.41555999999</v>
      </c>
      <c r="AE9" s="4">
        <f ca="1">$K$9*$Y$9</f>
        <v>128329.73394181901</v>
      </c>
      <c r="AF9" s="4">
        <f ca="1">$M$9*$Z$9</f>
        <v>106701.59272656703</v>
      </c>
      <c r="AG9" s="4">
        <f>$O$9*$AA$9</f>
        <v>154234.13734590504</v>
      </c>
      <c r="AI9" s="41" t="s">
        <v>631</v>
      </c>
      <c r="AJ9" s="42">
        <f>AJ8+AJ7</f>
        <v>46353943.765937999</v>
      </c>
      <c r="AK9" s="42">
        <f ca="1">AK8+AK7</f>
        <v>55026746.291498452</v>
      </c>
      <c r="AL9" s="43">
        <f t="shared" ca="1" si="0"/>
        <v>0.18709956092092939</v>
      </c>
      <c r="AN9" s="41" t="s">
        <v>631</v>
      </c>
      <c r="AO9" s="42">
        <f>AO8+AO7</f>
        <v>21309723.215072796</v>
      </c>
      <c r="AP9" s="42">
        <f>AP8+AP7</f>
        <v>19404287.547589198</v>
      </c>
      <c r="AQ9" s="43">
        <f t="shared" si="1"/>
        <v>-8.9416256056101373E-2</v>
      </c>
      <c r="AS9" s="41" t="s">
        <v>631</v>
      </c>
      <c r="AT9" s="42">
        <f>AT8+AT7</f>
        <v>67663666.981010795</v>
      </c>
      <c r="AU9" s="42">
        <f ca="1">AU8+AU7</f>
        <v>74431033.83908765</v>
      </c>
      <c r="AV9" s="43">
        <f t="shared" ca="1" si="2"/>
        <v>0.1000147813445591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3128</v>
      </c>
      <c r="K10" s="4">
        <v>3128</v>
      </c>
      <c r="L10" s="4">
        <v>1152.1600000000001</v>
      </c>
      <c r="M10" s="4">
        <v>1152.1600000000001</v>
      </c>
      <c r="N10" s="4">
        <v>1152.1600000000001</v>
      </c>
      <c r="O10" s="4">
        <v>1152.1600000000001</v>
      </c>
      <c r="P10" s="4">
        <v>0</v>
      </c>
      <c r="Q10" s="3" t="s">
        <v>26</v>
      </c>
      <c r="R10" s="3">
        <v>0</v>
      </c>
      <c r="S10" s="4">
        <v>28</v>
      </c>
      <c r="T10" s="4">
        <v>29</v>
      </c>
      <c r="U10" s="4">
        <v>61</v>
      </c>
      <c r="V10" s="4">
        <f>IF(ISERROR(VLOOKUP($S$10,'TAR FIN'!$A$1:$O$88,15,0)),0,VLOOKUP($S$10,'TAR FIN'!$A$1:$O$88,15,0))</f>
        <v>34.479999999999997</v>
      </c>
      <c r="W10" s="4">
        <f>IF(ISERROR(VLOOKUP($T$10,'TAR FIN'!$A$1:$O$88,15,0)),0,VLOOKUP($T$10,'TAR FIN'!$A$1:$O$88,15,0))</f>
        <v>60.38</v>
      </c>
      <c r="X10" s="4">
        <f>IF(ISERROR(VLOOKUP($U$10,'TAR FIN'!$A$1:$O$88,15,0)),0,VLOOKUP($U$10,'TAR FIN'!$A$1:$O$88,15,0))</f>
        <v>150.26</v>
      </c>
      <c r="Y10" s="4">
        <f ca="1">('TUSD BE'!$AM$6+'TUSD BF'!$AM$6+'TUSD CVA'!$AM$6)*1</f>
        <v>37.721850071081427</v>
      </c>
      <c r="Z10" s="4">
        <f ca="1">('TUSD BE'!$AM$7+'TUSD BF'!$AM$7+'TUSD CVA'!$AM$7)*1</f>
        <v>94.517694765168258</v>
      </c>
      <c r="AA10" s="4">
        <f>('TE BE'!$AB$6+'TE BF'!$AB$6+'TE CVA'!$AB$6)*1</f>
        <v>136.62265710865657</v>
      </c>
      <c r="AB10" s="4">
        <f>$K$10*$V$10</f>
        <v>107853.43999999999</v>
      </c>
      <c r="AC10" s="4">
        <f>$M$10*$W$10</f>
        <v>69567.420800000007</v>
      </c>
      <c r="AD10" s="4">
        <f>$O$10*$X$10</f>
        <v>173123.56160000002</v>
      </c>
      <c r="AE10" s="4">
        <f ca="1">$K$10*$Y$10</f>
        <v>117993.94702234271</v>
      </c>
      <c r="AF10" s="4">
        <f ca="1">$M$10*$Z$10</f>
        <v>108899.50720063628</v>
      </c>
      <c r="AG10" s="4">
        <f>$O$10*$AA$10</f>
        <v>157411.16061430977</v>
      </c>
    </row>
    <row r="11" spans="1:48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3730</v>
      </c>
      <c r="K11" s="4">
        <v>3730</v>
      </c>
      <c r="L11" s="4">
        <v>1437.7159999999999</v>
      </c>
      <c r="M11" s="4">
        <v>1437.7159999999999</v>
      </c>
      <c r="N11" s="4">
        <v>1437.7159999999999</v>
      </c>
      <c r="O11" s="4">
        <v>1437.7159999999999</v>
      </c>
      <c r="P11" s="4">
        <v>0</v>
      </c>
      <c r="Q11" s="3" t="s">
        <v>26</v>
      </c>
      <c r="R11" s="3">
        <v>0</v>
      </c>
      <c r="S11" s="4">
        <v>28</v>
      </c>
      <c r="T11" s="4">
        <v>29</v>
      </c>
      <c r="U11" s="4">
        <v>61</v>
      </c>
      <c r="V11" s="4">
        <f>IF(ISERROR(VLOOKUP($S$11,'TAR FIN'!$A$1:$O$88,15,0)),0,VLOOKUP($S$11,'TAR FIN'!$A$1:$O$88,15,0))</f>
        <v>34.479999999999997</v>
      </c>
      <c r="W11" s="4">
        <f>IF(ISERROR(VLOOKUP($T$11,'TAR FIN'!$A$1:$O$88,15,0)),0,VLOOKUP($T$11,'TAR FIN'!$A$1:$O$88,15,0))</f>
        <v>60.38</v>
      </c>
      <c r="X11" s="4">
        <f>IF(ISERROR(VLOOKUP($U$11,'TAR FIN'!$A$1:$O$88,15,0)),0,VLOOKUP($U$11,'TAR FIN'!$A$1:$O$88,15,0))</f>
        <v>150.26</v>
      </c>
      <c r="Y11" s="4">
        <f ca="1">('TUSD BE'!$AM$6+'TUSD BF'!$AM$6+'TUSD CVA'!$AM$6)*1</f>
        <v>37.721850071081427</v>
      </c>
      <c r="Z11" s="4">
        <f ca="1">('TUSD BE'!$AM$7+'TUSD BF'!$AM$7+'TUSD CVA'!$AM$7)*1</f>
        <v>94.517694765168258</v>
      </c>
      <c r="AA11" s="4">
        <f>('TE BE'!$AB$6+'TE BF'!$AB$6+'TE CVA'!$AB$6)*1</f>
        <v>136.62265710865657</v>
      </c>
      <c r="AB11" s="4">
        <f>$K$11*$V$11</f>
        <v>128610.4</v>
      </c>
      <c r="AC11" s="4">
        <f>$M$11*$W$11</f>
        <v>86809.292079999999</v>
      </c>
      <c r="AD11" s="4">
        <f>$O$11*$X$11</f>
        <v>216031.20615999997</v>
      </c>
      <c r="AE11" s="4">
        <f ca="1">$K$11*$Y$11</f>
        <v>140702.50076513374</v>
      </c>
      <c r="AF11" s="4">
        <f ca="1">$M$11*$Z$11</f>
        <v>135889.60204699863</v>
      </c>
      <c r="AG11" s="4">
        <f>$O$11*$AA$11</f>
        <v>196424.58008762926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3995</v>
      </c>
      <c r="K12" s="4">
        <v>3995</v>
      </c>
      <c r="L12" s="4">
        <v>1469.89</v>
      </c>
      <c r="M12" s="4">
        <v>1469.89</v>
      </c>
      <c r="N12" s="4">
        <v>1469.89</v>
      </c>
      <c r="O12" s="4">
        <v>1469.89</v>
      </c>
      <c r="P12" s="4">
        <v>0</v>
      </c>
      <c r="Q12" s="3" t="s">
        <v>26</v>
      </c>
      <c r="R12" s="3">
        <v>0</v>
      </c>
      <c r="S12" s="4">
        <v>28</v>
      </c>
      <c r="T12" s="4">
        <v>29</v>
      </c>
      <c r="U12" s="4">
        <v>61</v>
      </c>
      <c r="V12" s="4">
        <f>IF(ISERROR(VLOOKUP($S$12,'TAR FIN'!$A$1:$O$88,15,0)),0,VLOOKUP($S$12,'TAR FIN'!$A$1:$O$88,15,0))</f>
        <v>34.479999999999997</v>
      </c>
      <c r="W12" s="4">
        <f>IF(ISERROR(VLOOKUP($T$12,'TAR FIN'!$A$1:$O$88,15,0)),0,VLOOKUP($T$12,'TAR FIN'!$A$1:$O$88,15,0))</f>
        <v>60.38</v>
      </c>
      <c r="X12" s="4">
        <f>IF(ISERROR(VLOOKUP($U$12,'TAR FIN'!$A$1:$O$88,15,0)),0,VLOOKUP($U$12,'TAR FIN'!$A$1:$O$88,15,0))</f>
        <v>150.26</v>
      </c>
      <c r="Y12" s="4">
        <f ca="1">('TUSD BE'!$AM$6+'TUSD BF'!$AM$6+'TUSD CVA'!$AM$6)*1</f>
        <v>37.721850071081427</v>
      </c>
      <c r="Z12" s="4">
        <f ca="1">('TUSD BE'!$AM$7+'TUSD BF'!$AM$7+'TUSD CVA'!$AM$7)*1</f>
        <v>94.517694765168258</v>
      </c>
      <c r="AA12" s="4">
        <f>('TE BE'!$AB$6+'TE BF'!$AB$6+'TE CVA'!$AB$6)*1</f>
        <v>136.62265710865657</v>
      </c>
      <c r="AB12" s="4">
        <f>$K$12*$V$12</f>
        <v>137747.59999999998</v>
      </c>
      <c r="AC12" s="4">
        <f>$M$12*$W$12</f>
        <v>88751.958200000008</v>
      </c>
      <c r="AD12" s="4">
        <f>$O$12*$X$12</f>
        <v>220865.67139999999</v>
      </c>
      <c r="AE12" s="4">
        <f ca="1">$K$12*$Y$12</f>
        <v>150698.79103397031</v>
      </c>
      <c r="AF12" s="4">
        <f ca="1">$M$12*$Z$12</f>
        <v>138930.61435837319</v>
      </c>
      <c r="AG12" s="4">
        <f>$O$12*$AA$12</f>
        <v>200820.27745744321</v>
      </c>
    </row>
    <row r="13" spans="1:48" ht="11.25" customHeight="1" x14ac:dyDescent="0.25">
      <c r="A13" s="3" t="s">
        <v>55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3995</v>
      </c>
      <c r="K13" s="4">
        <v>3995</v>
      </c>
      <c r="L13" s="4">
        <v>1469.89</v>
      </c>
      <c r="M13" s="4">
        <v>1469.89</v>
      </c>
      <c r="N13" s="4">
        <v>1469.89</v>
      </c>
      <c r="O13" s="4">
        <v>1469.89</v>
      </c>
      <c r="P13" s="4">
        <v>0</v>
      </c>
      <c r="Q13" s="3" t="s">
        <v>26</v>
      </c>
      <c r="R13" s="3">
        <v>0</v>
      </c>
      <c r="S13" s="4">
        <v>28</v>
      </c>
      <c r="T13" s="4">
        <v>29</v>
      </c>
      <c r="U13" s="4">
        <v>61</v>
      </c>
      <c r="V13" s="4">
        <f>IF(ISERROR(VLOOKUP($S$13,'TAR FIN'!$A$1:$O$88,15,0)),0,VLOOKUP($S$13,'TAR FIN'!$A$1:$O$88,15,0))</f>
        <v>34.479999999999997</v>
      </c>
      <c r="W13" s="4">
        <f>IF(ISERROR(VLOOKUP($T$13,'TAR FIN'!$A$1:$O$88,15,0)),0,VLOOKUP($T$13,'TAR FIN'!$A$1:$O$88,15,0))</f>
        <v>60.38</v>
      </c>
      <c r="X13" s="4">
        <f>IF(ISERROR(VLOOKUP($U$13,'TAR FIN'!$A$1:$O$88,15,0)),0,VLOOKUP($U$13,'TAR FIN'!$A$1:$O$88,15,0))</f>
        <v>150.26</v>
      </c>
      <c r="Y13" s="4">
        <f ca="1">('TUSD BE'!$AM$6+'TUSD BF'!$AM$6+'TUSD CVA'!$AM$6)*1</f>
        <v>37.721850071081427</v>
      </c>
      <c r="Z13" s="4">
        <f ca="1">('TUSD BE'!$AM$7+'TUSD BF'!$AM$7+'TUSD CVA'!$AM$7)*1</f>
        <v>94.517694765168258</v>
      </c>
      <c r="AA13" s="4">
        <f>('TE BE'!$AB$6+'TE BF'!$AB$6+'TE CVA'!$AB$6)*1</f>
        <v>136.62265710865657</v>
      </c>
      <c r="AB13" s="4">
        <f>$K$13*$V$13</f>
        <v>137747.59999999998</v>
      </c>
      <c r="AC13" s="4">
        <f>$M$13*$W$13</f>
        <v>88751.958200000008</v>
      </c>
      <c r="AD13" s="4">
        <f>$O$13*$X$13</f>
        <v>220865.67139999999</v>
      </c>
      <c r="AE13" s="4">
        <f ca="1">$K$13*$Y$13</f>
        <v>150698.79103397031</v>
      </c>
      <c r="AF13" s="4">
        <f ca="1">$M$13*$Z$13</f>
        <v>138930.61435837319</v>
      </c>
      <c r="AG13" s="4">
        <f>$O$13*$AA$13</f>
        <v>200820.27745744321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44440</v>
      </c>
      <c r="J14" s="4">
        <v>1227</v>
      </c>
      <c r="K14" s="4">
        <v>1227</v>
      </c>
      <c r="L14" s="4">
        <v>65.489000000000004</v>
      </c>
      <c r="M14" s="4">
        <v>65.489000000000004</v>
      </c>
      <c r="N14" s="4">
        <v>65.489000000000004</v>
      </c>
      <c r="O14" s="4">
        <v>65.489000000000004</v>
      </c>
      <c r="P14" s="4">
        <v>0</v>
      </c>
      <c r="Q14" s="3" t="s">
        <v>26</v>
      </c>
      <c r="R14" s="3">
        <v>0</v>
      </c>
      <c r="S14" s="4">
        <v>54</v>
      </c>
      <c r="T14" s="4">
        <v>29</v>
      </c>
      <c r="U14" s="4">
        <v>70</v>
      </c>
      <c r="V14" s="4">
        <f>IF(ISERROR(VLOOKUP($S$14,'TAR FIN'!$A$1:$O$88,15,0)),0,VLOOKUP($S$14,'TAR FIN'!$A$1:$O$88,15,0))</f>
        <v>108.71</v>
      </c>
      <c r="W14" s="4">
        <f>IF(ISERROR(VLOOKUP($T$14,'TAR FIN'!$A$1:$O$88,15,0)),0,VLOOKUP($T$14,'TAR FIN'!$A$1:$O$88,15,0))</f>
        <v>60.38</v>
      </c>
      <c r="X14" s="4">
        <f>IF(ISERROR(VLOOKUP($U$14,'TAR FIN'!$A$1:$O$88,15,0)),0,VLOOKUP($U$14,'TAR FIN'!$A$1:$O$88,15,0))</f>
        <v>150.26</v>
      </c>
      <c r="Y14" s="4">
        <f ca="1">('TUSD BE'!$AM$5+'TUSD BF'!$AM$5+'TUSD CVA'!$AM$5)*1</f>
        <v>105.27132197002946</v>
      </c>
      <c r="Z14" s="4">
        <f ca="1">('TUSD BE'!$AM$7+'TUSD BF'!$AM$7+'TUSD CVA'!$AM$7)*1</f>
        <v>94.517694765168258</v>
      </c>
      <c r="AA14" s="4">
        <f>('TE BE'!$AB$5+'TE BF'!$AB$5+'TE CVA'!$AB$5)*1</f>
        <v>136.62265710865657</v>
      </c>
      <c r="AB14" s="4">
        <f>$K$14*$V$14</f>
        <v>133387.16999999998</v>
      </c>
      <c r="AC14" s="4">
        <f>$M$14*$W$14</f>
        <v>3954.2258200000006</v>
      </c>
      <c r="AD14" s="4">
        <f>$O$14*$X$14</f>
        <v>9840.3771400000005</v>
      </c>
      <c r="AE14" s="4">
        <f ca="1">$K$14*$Y$14</f>
        <v>129167.91205722615</v>
      </c>
      <c r="AF14" s="4">
        <f ca="1">$M$14*$Z$14</f>
        <v>6189.8693124761048</v>
      </c>
      <c r="AG14" s="4">
        <f>$O$14*$AA$14</f>
        <v>8947.2811913888108</v>
      </c>
    </row>
    <row r="15" spans="1:48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44470</v>
      </c>
      <c r="J15" s="4">
        <v>1273</v>
      </c>
      <c r="K15" s="4">
        <v>1273</v>
      </c>
      <c r="L15" s="4">
        <v>69.762</v>
      </c>
      <c r="M15" s="4">
        <v>69.762</v>
      </c>
      <c r="N15" s="4">
        <v>69.762</v>
      </c>
      <c r="O15" s="4">
        <v>69.762</v>
      </c>
      <c r="P15" s="4">
        <v>0</v>
      </c>
      <c r="Q15" s="3" t="s">
        <v>26</v>
      </c>
      <c r="R15" s="3">
        <v>0</v>
      </c>
      <c r="S15" s="4">
        <v>54</v>
      </c>
      <c r="T15" s="4">
        <v>29</v>
      </c>
      <c r="U15" s="4">
        <v>70</v>
      </c>
      <c r="V15" s="4">
        <f>IF(ISERROR(VLOOKUP($S$15,'TAR FIN'!$A$1:$O$88,15,0)),0,VLOOKUP($S$15,'TAR FIN'!$A$1:$O$88,15,0))</f>
        <v>108.71</v>
      </c>
      <c r="W15" s="4">
        <f>IF(ISERROR(VLOOKUP($T$15,'TAR FIN'!$A$1:$O$88,15,0)),0,VLOOKUP($T$15,'TAR FIN'!$A$1:$O$88,15,0))</f>
        <v>60.38</v>
      </c>
      <c r="X15" s="4">
        <f>IF(ISERROR(VLOOKUP($U$15,'TAR FIN'!$A$1:$O$88,15,0)),0,VLOOKUP($U$15,'TAR FIN'!$A$1:$O$88,15,0))</f>
        <v>150.26</v>
      </c>
      <c r="Y15" s="4">
        <f ca="1">('TUSD BE'!$AM$5+'TUSD BF'!$AM$5+'TUSD CVA'!$AM$5)*1</f>
        <v>105.27132197002946</v>
      </c>
      <c r="Z15" s="4">
        <f ca="1">('TUSD BE'!$AM$7+'TUSD BF'!$AM$7+'TUSD CVA'!$AM$7)*1</f>
        <v>94.517694765168258</v>
      </c>
      <c r="AA15" s="4">
        <f>('TE BE'!$AB$5+'TE BF'!$AB$5+'TE CVA'!$AB$5)*1</f>
        <v>136.62265710865657</v>
      </c>
      <c r="AB15" s="4">
        <f>$K$15*$V$15</f>
        <v>138387.82999999999</v>
      </c>
      <c r="AC15" s="4">
        <f>$M$15*$W$15</f>
        <v>4212.2295599999998</v>
      </c>
      <c r="AD15" s="4">
        <f>$O$15*$X$15</f>
        <v>10482.438119999999</v>
      </c>
      <c r="AE15" s="4">
        <f ca="1">$K$15*$Y$15</f>
        <v>134010.39286784749</v>
      </c>
      <c r="AF15" s="4">
        <f ca="1">$M$15*$Z$15</f>
        <v>6593.7434222076681</v>
      </c>
      <c r="AG15" s="4">
        <f>$O$15*$AA$15</f>
        <v>9531.0698052140997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44501</v>
      </c>
      <c r="J16" s="4">
        <v>1239</v>
      </c>
      <c r="K16" s="4">
        <v>1239</v>
      </c>
      <c r="L16" s="4">
        <v>66.686000000000007</v>
      </c>
      <c r="M16" s="4">
        <v>66.686000000000007</v>
      </c>
      <c r="N16" s="4">
        <v>66.686000000000007</v>
      </c>
      <c r="O16" s="4">
        <v>66.686000000000007</v>
      </c>
      <c r="P16" s="4">
        <v>0</v>
      </c>
      <c r="Q16" s="3" t="s">
        <v>26</v>
      </c>
      <c r="R16" s="3">
        <v>0</v>
      </c>
      <c r="S16" s="4">
        <v>54</v>
      </c>
      <c r="T16" s="4">
        <v>29</v>
      </c>
      <c r="U16" s="4">
        <v>70</v>
      </c>
      <c r="V16" s="4">
        <f>IF(ISERROR(VLOOKUP($S$16,'TAR FIN'!$A$1:$O$88,15,0)),0,VLOOKUP($S$16,'TAR FIN'!$A$1:$O$88,15,0))</f>
        <v>108.71</v>
      </c>
      <c r="W16" s="4">
        <f>IF(ISERROR(VLOOKUP($T$16,'TAR FIN'!$A$1:$O$88,15,0)),0,VLOOKUP($T$16,'TAR FIN'!$A$1:$O$88,15,0))</f>
        <v>60.38</v>
      </c>
      <c r="X16" s="4">
        <f>IF(ISERROR(VLOOKUP($U$16,'TAR FIN'!$A$1:$O$88,15,0)),0,VLOOKUP($U$16,'TAR FIN'!$A$1:$O$88,15,0))</f>
        <v>150.26</v>
      </c>
      <c r="Y16" s="4">
        <f ca="1">('TUSD BE'!$AM$5+'TUSD BF'!$AM$5+'TUSD CVA'!$AM$5)*1</f>
        <v>105.27132197002946</v>
      </c>
      <c r="Z16" s="4">
        <f ca="1">('TUSD BE'!$AM$7+'TUSD BF'!$AM$7+'TUSD CVA'!$AM$7)*1</f>
        <v>94.517694765168258</v>
      </c>
      <c r="AA16" s="4">
        <f>('TE BE'!$AB$5+'TE BF'!$AB$5+'TE CVA'!$AB$5)*1</f>
        <v>136.62265710865657</v>
      </c>
      <c r="AB16" s="4">
        <f>$K$16*$V$16</f>
        <v>134691.69</v>
      </c>
      <c r="AC16" s="4">
        <f>$M$16*$W$16</f>
        <v>4026.5006800000006</v>
      </c>
      <c r="AD16" s="4">
        <f>$O$16*$X$16</f>
        <v>10020.238360000001</v>
      </c>
      <c r="AE16" s="4">
        <f ca="1">$K$16*$Y$16</f>
        <v>130431.1679208665</v>
      </c>
      <c r="AF16" s="4">
        <f ca="1">$M$16*$Z$16</f>
        <v>6303.0069931100115</v>
      </c>
      <c r="AG16" s="4">
        <f>$O$16*$AA$16</f>
        <v>9110.818511947873</v>
      </c>
    </row>
    <row r="17" spans="1:3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44531</v>
      </c>
      <c r="J17" s="4">
        <v>1335</v>
      </c>
      <c r="K17" s="4">
        <v>1335</v>
      </c>
      <c r="L17" s="4">
        <v>57.280999999999999</v>
      </c>
      <c r="M17" s="4">
        <v>57.280999999999999</v>
      </c>
      <c r="N17" s="4">
        <v>57.280999999999999</v>
      </c>
      <c r="O17" s="4">
        <v>57.280999999999999</v>
      </c>
      <c r="P17" s="4">
        <v>0</v>
      </c>
      <c r="Q17" s="3" t="s">
        <v>26</v>
      </c>
      <c r="R17" s="3">
        <v>0</v>
      </c>
      <c r="S17" s="4">
        <v>54</v>
      </c>
      <c r="T17" s="4">
        <v>29</v>
      </c>
      <c r="U17" s="4">
        <v>70</v>
      </c>
      <c r="V17" s="4">
        <f>IF(ISERROR(VLOOKUP($S$17,'TAR FIN'!$A$1:$O$88,15,0)),0,VLOOKUP($S$17,'TAR FIN'!$A$1:$O$88,15,0))</f>
        <v>108.71</v>
      </c>
      <c r="W17" s="4">
        <f>IF(ISERROR(VLOOKUP($T$17,'TAR FIN'!$A$1:$O$88,15,0)),0,VLOOKUP($T$17,'TAR FIN'!$A$1:$O$88,15,0))</f>
        <v>60.38</v>
      </c>
      <c r="X17" s="4">
        <f>IF(ISERROR(VLOOKUP($U$17,'TAR FIN'!$A$1:$O$88,15,0)),0,VLOOKUP($U$17,'TAR FIN'!$A$1:$O$88,15,0))</f>
        <v>150.26</v>
      </c>
      <c r="Y17" s="4">
        <f ca="1">('TUSD BE'!$AM$5+'TUSD BF'!$AM$5+'TUSD CVA'!$AM$5)*1</f>
        <v>105.27132197002946</v>
      </c>
      <c r="Z17" s="4">
        <f ca="1">('TUSD BE'!$AM$7+'TUSD BF'!$AM$7+'TUSD CVA'!$AM$7)*1</f>
        <v>94.517694765168258</v>
      </c>
      <c r="AA17" s="4">
        <f>('TE BE'!$AB$5+'TE BF'!$AB$5+'TE CVA'!$AB$5)*1</f>
        <v>136.62265710865657</v>
      </c>
      <c r="AB17" s="4">
        <f>$K$17*$V$17</f>
        <v>145127.85</v>
      </c>
      <c r="AC17" s="4">
        <f>$M$17*$W$17</f>
        <v>3458.6267800000001</v>
      </c>
      <c r="AD17" s="4">
        <f>$O$17*$X$17</f>
        <v>8607.04306</v>
      </c>
      <c r="AE17" s="4">
        <f ca="1">$K$17*$Y$17</f>
        <v>140537.21482998933</v>
      </c>
      <c r="AF17" s="4">
        <f ca="1">$M$17*$Z$17</f>
        <v>5414.0680738436031</v>
      </c>
      <c r="AG17" s="4">
        <f>$O$17*$AA$17</f>
        <v>7825.8824218409563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44562</v>
      </c>
      <c r="J18" s="4">
        <v>965</v>
      </c>
      <c r="K18" s="4">
        <v>965</v>
      </c>
      <c r="L18" s="4">
        <v>52.65</v>
      </c>
      <c r="M18" s="4">
        <v>52.65</v>
      </c>
      <c r="N18" s="4">
        <v>52.65</v>
      </c>
      <c r="O18" s="4">
        <v>52.65</v>
      </c>
      <c r="P18" s="4">
        <v>0</v>
      </c>
      <c r="Q18" s="3" t="s">
        <v>26</v>
      </c>
      <c r="R18" s="3">
        <v>0</v>
      </c>
      <c r="S18" s="4">
        <v>54</v>
      </c>
      <c r="T18" s="4">
        <v>29</v>
      </c>
      <c r="U18" s="4">
        <v>70</v>
      </c>
      <c r="V18" s="4">
        <f>IF(ISERROR(VLOOKUP($S$18,'TAR FIN'!$A$1:$O$88,15,0)),0,VLOOKUP($S$18,'TAR FIN'!$A$1:$O$88,15,0))</f>
        <v>108.71</v>
      </c>
      <c r="W18" s="4">
        <f>IF(ISERROR(VLOOKUP($T$18,'TAR FIN'!$A$1:$O$88,15,0)),0,VLOOKUP($T$18,'TAR FIN'!$A$1:$O$88,15,0))</f>
        <v>60.38</v>
      </c>
      <c r="X18" s="4">
        <f>IF(ISERROR(VLOOKUP($U$18,'TAR FIN'!$A$1:$O$88,15,0)),0,VLOOKUP($U$18,'TAR FIN'!$A$1:$O$88,15,0))</f>
        <v>150.26</v>
      </c>
      <c r="Y18" s="4">
        <f ca="1">('TUSD BE'!$AM$5+'TUSD BF'!$AM$5+'TUSD CVA'!$AM$5)*1</f>
        <v>105.27132197002946</v>
      </c>
      <c r="Z18" s="4">
        <f ca="1">('TUSD BE'!$AM$7+'TUSD BF'!$AM$7+'TUSD CVA'!$AM$7)*1</f>
        <v>94.517694765168258</v>
      </c>
      <c r="AA18" s="4">
        <f>('TE BE'!$AB$5+'TE BF'!$AB$5+'TE CVA'!$AB$5)*1</f>
        <v>136.62265710865657</v>
      </c>
      <c r="AB18" s="4">
        <f>$K$18*$V$18</f>
        <v>104905.15</v>
      </c>
      <c r="AC18" s="4">
        <f>$M$18*$W$18</f>
        <v>3179.0070000000001</v>
      </c>
      <c r="AD18" s="4">
        <f>$O$18*$X$18</f>
        <v>7911.1889999999994</v>
      </c>
      <c r="AE18" s="4">
        <f ca="1">$K$18*$Y$18</f>
        <v>101586.82570107843</v>
      </c>
      <c r="AF18" s="4">
        <f ca="1">$M$18*$Z$18</f>
        <v>4976.3566293861086</v>
      </c>
      <c r="AG18" s="4">
        <f>$O$18*$AA$18</f>
        <v>7193.1828967707679</v>
      </c>
    </row>
    <row r="19" spans="1:3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44593</v>
      </c>
      <c r="J19" s="4">
        <v>108</v>
      </c>
      <c r="K19" s="4">
        <v>108</v>
      </c>
      <c r="L19" s="4">
        <v>3.2130000000000001</v>
      </c>
      <c r="M19" s="4">
        <v>3.2130000000000001</v>
      </c>
      <c r="N19" s="4">
        <v>3.2130000000000001</v>
      </c>
      <c r="O19" s="4">
        <v>3.2130000000000001</v>
      </c>
      <c r="P19" s="4">
        <v>0</v>
      </c>
      <c r="Q19" s="3" t="s">
        <v>26</v>
      </c>
      <c r="R19" s="3">
        <v>0</v>
      </c>
      <c r="S19" s="4">
        <v>54</v>
      </c>
      <c r="T19" s="4">
        <v>29</v>
      </c>
      <c r="U19" s="4">
        <v>70</v>
      </c>
      <c r="V19" s="4">
        <f>IF(ISERROR(VLOOKUP($S$19,'TAR FIN'!$A$1:$O$88,15,0)),0,VLOOKUP($S$19,'TAR FIN'!$A$1:$O$88,15,0))</f>
        <v>108.71</v>
      </c>
      <c r="W19" s="4">
        <f>IF(ISERROR(VLOOKUP($T$19,'TAR FIN'!$A$1:$O$88,15,0)),0,VLOOKUP($T$19,'TAR FIN'!$A$1:$O$88,15,0))</f>
        <v>60.38</v>
      </c>
      <c r="X19" s="4">
        <f>IF(ISERROR(VLOOKUP($U$19,'TAR FIN'!$A$1:$O$88,15,0)),0,VLOOKUP($U$19,'TAR FIN'!$A$1:$O$88,15,0))</f>
        <v>150.26</v>
      </c>
      <c r="Y19" s="4">
        <f ca="1">('TUSD BE'!$AM$5+'TUSD BF'!$AM$5+'TUSD CVA'!$AM$5)*1</f>
        <v>105.27132197002946</v>
      </c>
      <c r="Z19" s="4">
        <f ca="1">('TUSD BE'!$AM$7+'TUSD BF'!$AM$7+'TUSD CVA'!$AM$7)*1</f>
        <v>94.517694765168258</v>
      </c>
      <c r="AA19" s="4">
        <f>('TE BE'!$AB$5+'TE BF'!$AB$5+'TE CVA'!$AB$5)*1</f>
        <v>136.62265710865657</v>
      </c>
      <c r="AB19" s="4">
        <f>$K$19*$V$19</f>
        <v>11740.679999999998</v>
      </c>
      <c r="AC19" s="4">
        <f>$M$19*$W$19</f>
        <v>194.00094000000001</v>
      </c>
      <c r="AD19" s="4">
        <f>$O$19*$X$19</f>
        <v>482.78537999999998</v>
      </c>
      <c r="AE19" s="4">
        <f ca="1">$K$19*$Y$19</f>
        <v>11369.302772763182</v>
      </c>
      <c r="AF19" s="4">
        <f ca="1">$M$19*$Z$19</f>
        <v>303.68535328048563</v>
      </c>
      <c r="AG19" s="4">
        <f>$O$19*$AA$19</f>
        <v>438.96859729011356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44621</v>
      </c>
      <c r="J20" s="4">
        <v>211</v>
      </c>
      <c r="K20" s="4">
        <v>211</v>
      </c>
      <c r="L20" s="4">
        <v>5.234</v>
      </c>
      <c r="M20" s="4">
        <v>5.234</v>
      </c>
      <c r="N20" s="4">
        <v>5.234</v>
      </c>
      <c r="O20" s="4">
        <v>5.234</v>
      </c>
      <c r="P20" s="4">
        <v>0</v>
      </c>
      <c r="Q20" s="3" t="s">
        <v>26</v>
      </c>
      <c r="R20" s="3">
        <v>0</v>
      </c>
      <c r="S20" s="4">
        <v>54</v>
      </c>
      <c r="T20" s="4">
        <v>29</v>
      </c>
      <c r="U20" s="4">
        <v>70</v>
      </c>
      <c r="V20" s="4">
        <f>IF(ISERROR(VLOOKUP($S$20,'TAR FIN'!$A$1:$O$88,15,0)),0,VLOOKUP($S$20,'TAR FIN'!$A$1:$O$88,15,0))</f>
        <v>108.71</v>
      </c>
      <c r="W20" s="4">
        <f>IF(ISERROR(VLOOKUP($T$20,'TAR FIN'!$A$1:$O$88,15,0)),0,VLOOKUP($T$20,'TAR FIN'!$A$1:$O$88,15,0))</f>
        <v>60.38</v>
      </c>
      <c r="X20" s="4">
        <f>IF(ISERROR(VLOOKUP($U$20,'TAR FIN'!$A$1:$O$88,15,0)),0,VLOOKUP($U$20,'TAR FIN'!$A$1:$O$88,15,0))</f>
        <v>150.26</v>
      </c>
      <c r="Y20" s="4">
        <f ca="1">('TUSD BE'!$AM$5+'TUSD BF'!$AM$5+'TUSD CVA'!$AM$5)*1</f>
        <v>105.27132197002946</v>
      </c>
      <c r="Z20" s="4">
        <f ca="1">('TUSD BE'!$AM$7+'TUSD BF'!$AM$7+'TUSD CVA'!$AM$7)*1</f>
        <v>94.517694765168258</v>
      </c>
      <c r="AA20" s="4">
        <f>('TE BE'!$AB$5+'TE BF'!$AB$5+'TE CVA'!$AB$5)*1</f>
        <v>136.62265710865657</v>
      </c>
      <c r="AB20" s="4">
        <f>$K$20*$V$20</f>
        <v>22937.809999999998</v>
      </c>
      <c r="AC20" s="4">
        <f>$M$20*$W$20</f>
        <v>316.02892000000003</v>
      </c>
      <c r="AD20" s="4">
        <f>$O$20*$X$20</f>
        <v>786.46083999999996</v>
      </c>
      <c r="AE20" s="4">
        <f ca="1">$K$20*$Y$20</f>
        <v>22212.248935676216</v>
      </c>
      <c r="AF20" s="4">
        <f ca="1">$M$20*$Z$20</f>
        <v>494.70561440089068</v>
      </c>
      <c r="AG20" s="4">
        <f>$O$20*$AA$20</f>
        <v>715.08298730670845</v>
      </c>
    </row>
    <row r="21" spans="1:3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44652</v>
      </c>
      <c r="J21" s="4">
        <v>298</v>
      </c>
      <c r="K21" s="4">
        <v>298</v>
      </c>
      <c r="L21" s="4">
        <v>7.0860000000000003</v>
      </c>
      <c r="M21" s="4">
        <v>7.0860000000000003</v>
      </c>
      <c r="N21" s="4">
        <v>7.0860000000000003</v>
      </c>
      <c r="O21" s="4">
        <v>7.0860000000000003</v>
      </c>
      <c r="P21" s="4">
        <v>0</v>
      </c>
      <c r="Q21" s="3" t="s">
        <v>26</v>
      </c>
      <c r="R21" s="3">
        <v>0</v>
      </c>
      <c r="S21" s="4">
        <v>54</v>
      </c>
      <c r="T21" s="4">
        <v>29</v>
      </c>
      <c r="U21" s="4">
        <v>70</v>
      </c>
      <c r="V21" s="4">
        <f>IF(ISERROR(VLOOKUP($S$21,'TAR FIN'!$A$1:$O$88,15,0)),0,VLOOKUP($S$21,'TAR FIN'!$A$1:$O$88,15,0))</f>
        <v>108.71</v>
      </c>
      <c r="W21" s="4">
        <f>IF(ISERROR(VLOOKUP($T$21,'TAR FIN'!$A$1:$O$88,15,0)),0,VLOOKUP($T$21,'TAR FIN'!$A$1:$O$88,15,0))</f>
        <v>60.38</v>
      </c>
      <c r="X21" s="4">
        <f>IF(ISERROR(VLOOKUP($U$21,'TAR FIN'!$A$1:$O$88,15,0)),0,VLOOKUP($U$21,'TAR FIN'!$A$1:$O$88,15,0))</f>
        <v>150.26</v>
      </c>
      <c r="Y21" s="4">
        <f ca="1">('TUSD BE'!$AM$5+'TUSD BF'!$AM$5+'TUSD CVA'!$AM$5)*1</f>
        <v>105.27132197002946</v>
      </c>
      <c r="Z21" s="4">
        <f ca="1">('TUSD BE'!$AM$7+'TUSD BF'!$AM$7+'TUSD CVA'!$AM$7)*1</f>
        <v>94.517694765168258</v>
      </c>
      <c r="AA21" s="4">
        <f>('TE BE'!$AB$5+'TE BF'!$AB$5+'TE CVA'!$AB$5)*1</f>
        <v>136.62265710865657</v>
      </c>
      <c r="AB21" s="4">
        <f>$K$21*$V$21</f>
        <v>32395.579999999998</v>
      </c>
      <c r="AC21" s="4">
        <f>$M$21*$W$21</f>
        <v>427.85268000000002</v>
      </c>
      <c r="AD21" s="4">
        <f>$O$21*$X$21</f>
        <v>1064.74236</v>
      </c>
      <c r="AE21" s="4">
        <f ca="1">$K$21*$Y$21</f>
        <v>31370.853947068779</v>
      </c>
      <c r="AF21" s="4">
        <f ca="1">$M$21*$Z$21</f>
        <v>669.75238510598228</v>
      </c>
      <c r="AG21" s="4">
        <f>$O$21*$AA$21</f>
        <v>968.10814827194054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44682</v>
      </c>
      <c r="J22" s="4">
        <v>100</v>
      </c>
      <c r="K22" s="4">
        <v>100</v>
      </c>
      <c r="L22" s="4">
        <v>2.9580000000000002</v>
      </c>
      <c r="M22" s="4">
        <v>2.9580000000000002</v>
      </c>
      <c r="N22" s="4">
        <v>2.9580000000000002</v>
      </c>
      <c r="O22" s="4">
        <v>2.9580000000000002</v>
      </c>
      <c r="P22" s="4">
        <v>0</v>
      </c>
      <c r="Q22" s="3" t="s">
        <v>26</v>
      </c>
      <c r="R22" s="3">
        <v>0</v>
      </c>
      <c r="S22" s="4">
        <v>54</v>
      </c>
      <c r="T22" s="4">
        <v>29</v>
      </c>
      <c r="U22" s="4">
        <v>70</v>
      </c>
      <c r="V22" s="4">
        <f>IF(ISERROR(VLOOKUP($S$22,'TAR FIN'!$A$1:$O$88,15,0)),0,VLOOKUP($S$22,'TAR FIN'!$A$1:$O$88,15,0))</f>
        <v>108.71</v>
      </c>
      <c r="W22" s="4">
        <f>IF(ISERROR(VLOOKUP($T$22,'TAR FIN'!$A$1:$O$88,15,0)),0,VLOOKUP($T$22,'TAR FIN'!$A$1:$O$88,15,0))</f>
        <v>60.38</v>
      </c>
      <c r="X22" s="4">
        <f>IF(ISERROR(VLOOKUP($U$22,'TAR FIN'!$A$1:$O$88,15,0)),0,VLOOKUP($U$22,'TAR FIN'!$A$1:$O$88,15,0))</f>
        <v>150.26</v>
      </c>
      <c r="Y22" s="4">
        <f ca="1">('TUSD BE'!$AM$5+'TUSD BF'!$AM$5+'TUSD CVA'!$AM$5)*1</f>
        <v>105.27132197002946</v>
      </c>
      <c r="Z22" s="4">
        <f ca="1">('TUSD BE'!$AM$7+'TUSD BF'!$AM$7+'TUSD CVA'!$AM$7)*1</f>
        <v>94.517694765168258</v>
      </c>
      <c r="AA22" s="4">
        <f>('TE BE'!$AB$5+'TE BF'!$AB$5+'TE CVA'!$AB$5)*1</f>
        <v>136.62265710865657</v>
      </c>
      <c r="AB22" s="4">
        <f>$K$22*$V$22</f>
        <v>10871</v>
      </c>
      <c r="AC22" s="4">
        <f>$M$22*$W$22</f>
        <v>178.60404000000003</v>
      </c>
      <c r="AD22" s="4">
        <f>$O$22*$X$22</f>
        <v>444.46908000000002</v>
      </c>
      <c r="AE22" s="4">
        <f ca="1">$K$22*$Y$22</f>
        <v>10527.132197002946</v>
      </c>
      <c r="AF22" s="4">
        <f ca="1">$M$22*$Z$22</f>
        <v>279.58334111536772</v>
      </c>
      <c r="AG22" s="4">
        <f>$O$22*$AA$22</f>
        <v>404.12981972740613</v>
      </c>
    </row>
    <row r="23" spans="1:3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44713</v>
      </c>
      <c r="J23" s="4">
        <v>105</v>
      </c>
      <c r="K23" s="4">
        <v>105</v>
      </c>
      <c r="L23" s="4">
        <v>3.4359999999999999</v>
      </c>
      <c r="M23" s="4">
        <v>3.4359999999999999</v>
      </c>
      <c r="N23" s="4">
        <v>3.4359999999999999</v>
      </c>
      <c r="O23" s="4">
        <v>3.4359999999999999</v>
      </c>
      <c r="P23" s="4">
        <v>0</v>
      </c>
      <c r="Q23" s="3" t="s">
        <v>26</v>
      </c>
      <c r="R23" s="3">
        <v>0</v>
      </c>
      <c r="S23" s="4">
        <v>54</v>
      </c>
      <c r="T23" s="4">
        <v>29</v>
      </c>
      <c r="U23" s="4">
        <v>70</v>
      </c>
      <c r="V23" s="4">
        <f>IF(ISERROR(VLOOKUP($S$23,'TAR FIN'!$A$1:$O$88,15,0)),0,VLOOKUP($S$23,'TAR FIN'!$A$1:$O$88,15,0))</f>
        <v>108.71</v>
      </c>
      <c r="W23" s="4">
        <f>IF(ISERROR(VLOOKUP($T$23,'TAR FIN'!$A$1:$O$88,15,0)),0,VLOOKUP($T$23,'TAR FIN'!$A$1:$O$88,15,0))</f>
        <v>60.38</v>
      </c>
      <c r="X23" s="4">
        <f>IF(ISERROR(VLOOKUP($U$23,'TAR FIN'!$A$1:$O$88,15,0)),0,VLOOKUP($U$23,'TAR FIN'!$A$1:$O$88,15,0))</f>
        <v>150.26</v>
      </c>
      <c r="Y23" s="4">
        <f ca="1">('TUSD BE'!$AM$5+'TUSD BF'!$AM$5+'TUSD CVA'!$AM$5)*1</f>
        <v>105.27132197002946</v>
      </c>
      <c r="Z23" s="4">
        <f ca="1">('TUSD BE'!$AM$7+'TUSD BF'!$AM$7+'TUSD CVA'!$AM$7)*1</f>
        <v>94.517694765168258</v>
      </c>
      <c r="AA23" s="4">
        <f>('TE BE'!$AB$5+'TE BF'!$AB$5+'TE CVA'!$AB$5)*1</f>
        <v>136.62265710865657</v>
      </c>
      <c r="AB23" s="4">
        <f>$K$23*$V$23</f>
        <v>11414.55</v>
      </c>
      <c r="AC23" s="4">
        <f>$M$23*$W$23</f>
        <v>207.46567999999999</v>
      </c>
      <c r="AD23" s="4">
        <f>$O$23*$X$23</f>
        <v>516.29336000000001</v>
      </c>
      <c r="AE23" s="4">
        <f ca="1">$K$23*$Y$23</f>
        <v>11053.488806853093</v>
      </c>
      <c r="AF23" s="4">
        <f ca="1">$M$23*$Z$23</f>
        <v>324.76279921311811</v>
      </c>
      <c r="AG23" s="4">
        <f>$O$23*$AA$23</f>
        <v>469.43544982534394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44743</v>
      </c>
      <c r="J24" s="4">
        <v>105</v>
      </c>
      <c r="K24" s="4">
        <v>105</v>
      </c>
      <c r="L24" s="4">
        <v>3.5680000000000001</v>
      </c>
      <c r="M24" s="4">
        <v>3.5680000000000001</v>
      </c>
      <c r="N24" s="4">
        <v>3.5680000000000001</v>
      </c>
      <c r="O24" s="4">
        <v>3.5680000000000001</v>
      </c>
      <c r="P24" s="4">
        <v>0</v>
      </c>
      <c r="Q24" s="3" t="s">
        <v>26</v>
      </c>
      <c r="R24" s="3">
        <v>0</v>
      </c>
      <c r="S24" s="4">
        <v>54</v>
      </c>
      <c r="T24" s="4">
        <v>29</v>
      </c>
      <c r="U24" s="4">
        <v>70</v>
      </c>
      <c r="V24" s="4">
        <f>IF(ISERROR(VLOOKUP($S$24,'TAR FIN'!$A$1:$O$88,15,0)),0,VLOOKUP($S$24,'TAR FIN'!$A$1:$O$88,15,0))</f>
        <v>108.71</v>
      </c>
      <c r="W24" s="4">
        <f>IF(ISERROR(VLOOKUP($T$24,'TAR FIN'!$A$1:$O$88,15,0)),0,VLOOKUP($T$24,'TAR FIN'!$A$1:$O$88,15,0))</f>
        <v>60.38</v>
      </c>
      <c r="X24" s="4">
        <f>IF(ISERROR(VLOOKUP($U$24,'TAR FIN'!$A$1:$O$88,15,0)),0,VLOOKUP($U$24,'TAR FIN'!$A$1:$O$88,15,0))</f>
        <v>150.26</v>
      </c>
      <c r="Y24" s="4">
        <f ca="1">('TUSD BE'!$AM$5+'TUSD BF'!$AM$5+'TUSD CVA'!$AM$5)*1</f>
        <v>105.27132197002946</v>
      </c>
      <c r="Z24" s="4">
        <f ca="1">('TUSD BE'!$AM$7+'TUSD BF'!$AM$7+'TUSD CVA'!$AM$7)*1</f>
        <v>94.517694765168258</v>
      </c>
      <c r="AA24" s="4">
        <f>('TE BE'!$AB$5+'TE BF'!$AB$5+'TE CVA'!$AB$5)*1</f>
        <v>136.62265710865657</v>
      </c>
      <c r="AB24" s="4">
        <f>$K$24*$V$24</f>
        <v>11414.55</v>
      </c>
      <c r="AC24" s="4">
        <f>$M$24*$W$24</f>
        <v>215.43584000000001</v>
      </c>
      <c r="AD24" s="4">
        <f>$O$24*$X$24</f>
        <v>536.12767999999994</v>
      </c>
      <c r="AE24" s="4">
        <f ca="1">$K$24*$Y$24</f>
        <v>11053.488806853093</v>
      </c>
      <c r="AF24" s="4">
        <f ca="1">$M$24*$Z$24</f>
        <v>337.23913492212034</v>
      </c>
      <c r="AG24" s="4">
        <f>$O$24*$AA$24</f>
        <v>487.46964056368665</v>
      </c>
    </row>
    <row r="25" spans="1:33" ht="11.25" customHeight="1" x14ac:dyDescent="0.25">
      <c r="A25" s="3" t="s">
        <v>55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44774</v>
      </c>
      <c r="J25" s="4">
        <v>105</v>
      </c>
      <c r="K25" s="4">
        <v>105</v>
      </c>
      <c r="L25" s="4">
        <v>3.5680000000000001</v>
      </c>
      <c r="M25" s="4">
        <v>3.5680000000000001</v>
      </c>
      <c r="N25" s="4">
        <v>3.5680000000000001</v>
      </c>
      <c r="O25" s="4">
        <v>3.5680000000000001</v>
      </c>
      <c r="P25" s="4">
        <v>0</v>
      </c>
      <c r="Q25" s="3" t="s">
        <v>26</v>
      </c>
      <c r="R25" s="3">
        <v>0</v>
      </c>
      <c r="S25" s="4">
        <v>54</v>
      </c>
      <c r="T25" s="4">
        <v>29</v>
      </c>
      <c r="U25" s="4">
        <v>70</v>
      </c>
      <c r="V25" s="4">
        <f>IF(ISERROR(VLOOKUP($S$25,'TAR FIN'!$A$1:$O$88,15,0)),0,VLOOKUP($S$25,'TAR FIN'!$A$1:$O$88,15,0))</f>
        <v>108.71</v>
      </c>
      <c r="W25" s="4">
        <f>IF(ISERROR(VLOOKUP($T$25,'TAR FIN'!$A$1:$O$88,15,0)),0,VLOOKUP($T$25,'TAR FIN'!$A$1:$O$88,15,0))</f>
        <v>60.38</v>
      </c>
      <c r="X25" s="4">
        <f>IF(ISERROR(VLOOKUP($U$25,'TAR FIN'!$A$1:$O$88,15,0)),0,VLOOKUP($U$25,'TAR FIN'!$A$1:$O$88,15,0))</f>
        <v>150.26</v>
      </c>
      <c r="Y25" s="4">
        <f ca="1">('TUSD BE'!$AM$5+'TUSD BF'!$AM$5+'TUSD CVA'!$AM$5)*1</f>
        <v>105.27132197002946</v>
      </c>
      <c r="Z25" s="4">
        <f ca="1">('TUSD BE'!$AM$7+'TUSD BF'!$AM$7+'TUSD CVA'!$AM$7)*1</f>
        <v>94.517694765168258</v>
      </c>
      <c r="AA25" s="4">
        <f>('TE BE'!$AB$5+'TE BF'!$AB$5+'TE CVA'!$AB$5)*1</f>
        <v>136.62265710865657</v>
      </c>
      <c r="AB25" s="4">
        <f>$K$25*$V$25</f>
        <v>11414.55</v>
      </c>
      <c r="AC25" s="4">
        <f>$M$25*$W$25</f>
        <v>215.43584000000001</v>
      </c>
      <c r="AD25" s="4">
        <f>$O$25*$X$25</f>
        <v>536.12767999999994</v>
      </c>
      <c r="AE25" s="4">
        <f ca="1">$K$25*$Y$25</f>
        <v>11053.488806853093</v>
      </c>
      <c r="AF25" s="4">
        <f ca="1">$M$25*$Z$25</f>
        <v>337.23913492212034</v>
      </c>
      <c r="AG25" s="4">
        <f>$O$25*$AA$25</f>
        <v>487.46964056368665</v>
      </c>
    </row>
    <row r="26" spans="1:33" ht="11.25" customHeight="1" x14ac:dyDescent="0.25">
      <c r="A26" s="3" t="s">
        <v>21</v>
      </c>
      <c r="B26" s="3" t="s">
        <v>35</v>
      </c>
      <c r="C26" s="3" t="s">
        <v>39</v>
      </c>
      <c r="D26" s="3" t="s">
        <v>40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44440</v>
      </c>
      <c r="J26" s="4">
        <v>0</v>
      </c>
      <c r="K26" s="4">
        <v>0</v>
      </c>
      <c r="L26" s="4">
        <v>376.36799999999999</v>
      </c>
      <c r="M26" s="4">
        <v>376.36799999999999</v>
      </c>
      <c r="N26" s="4">
        <v>376.36799999999999</v>
      </c>
      <c r="O26" s="4">
        <v>376.36799999999999</v>
      </c>
      <c r="P26" s="4">
        <v>0</v>
      </c>
      <c r="Q26" s="3" t="s">
        <v>26</v>
      </c>
      <c r="R26" s="3">
        <v>0</v>
      </c>
      <c r="S26" s="4">
        <v>0</v>
      </c>
      <c r="T26" s="4">
        <v>50</v>
      </c>
      <c r="U26" s="4">
        <v>61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60.38</v>
      </c>
      <c r="X26" s="4">
        <f>IF(ISERROR(VLOOKUP($U$26,'TAR FIN'!$A$1:$O$88,15,0)),0,VLOOKUP($U$26,'TAR FIN'!$A$1:$O$88,15,0))</f>
        <v>150.26</v>
      </c>
      <c r="Y26" s="4"/>
      <c r="Z26" s="4">
        <f ca="1">('TUSD BE'!$AM$12+'TUSD BF'!$AM$12+'TUSD CVA'!$AM$12)*1</f>
        <v>94.517694765168258</v>
      </c>
      <c r="AA26" s="4">
        <f>('TE BE'!$AB$6+'TE BF'!$AB$6+'TE CVA'!$AB$6)*1</f>
        <v>136.62265710865657</v>
      </c>
      <c r="AB26" s="4">
        <f>$K$26*$V$26</f>
        <v>0</v>
      </c>
      <c r="AC26" s="4">
        <f>$M$26*$W$26</f>
        <v>22725.099839999999</v>
      </c>
      <c r="AD26" s="4">
        <f>$O$26*$X$26</f>
        <v>56553.055679999998</v>
      </c>
      <c r="AE26" s="4">
        <f>$K$26*$Y$26</f>
        <v>0</v>
      </c>
      <c r="AF26" s="4">
        <f ca="1">$M$26*$Z$26</f>
        <v>35573.435743376845</v>
      </c>
      <c r="AG26" s="4">
        <f>$O$26*$AA$26</f>
        <v>51420.396210670857</v>
      </c>
    </row>
    <row r="27" spans="1:33" ht="11.25" customHeight="1" x14ac:dyDescent="0.25">
      <c r="A27" s="3" t="s">
        <v>21</v>
      </c>
      <c r="B27" s="3" t="s">
        <v>35</v>
      </c>
      <c r="C27" s="3" t="s">
        <v>39</v>
      </c>
      <c r="D27" s="3" t="s">
        <v>40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44470</v>
      </c>
      <c r="J27" s="4">
        <v>0</v>
      </c>
      <c r="K27" s="4">
        <v>0</v>
      </c>
      <c r="L27" s="4">
        <v>392.959</v>
      </c>
      <c r="M27" s="4">
        <v>392.959</v>
      </c>
      <c r="N27" s="4">
        <v>392.959</v>
      </c>
      <c r="O27" s="4">
        <v>392.959</v>
      </c>
      <c r="P27" s="4">
        <v>0</v>
      </c>
      <c r="Q27" s="3" t="s">
        <v>26</v>
      </c>
      <c r="R27" s="3">
        <v>0</v>
      </c>
      <c r="S27" s="4">
        <v>0</v>
      </c>
      <c r="T27" s="4">
        <v>50</v>
      </c>
      <c r="U27" s="4">
        <v>61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60.38</v>
      </c>
      <c r="X27" s="4">
        <f>IF(ISERROR(VLOOKUP($U$27,'TAR FIN'!$A$1:$O$88,15,0)),0,VLOOKUP($U$27,'TAR FIN'!$A$1:$O$88,15,0))</f>
        <v>150.26</v>
      </c>
      <c r="Y27" s="4"/>
      <c r="Z27" s="4">
        <f ca="1">('TUSD BE'!$AM$12+'TUSD BF'!$AM$12+'TUSD CVA'!$AM$12)*1</f>
        <v>94.517694765168258</v>
      </c>
      <c r="AA27" s="4">
        <f>('TE BE'!$AB$6+'TE BF'!$AB$6+'TE CVA'!$AB$6)*1</f>
        <v>136.62265710865657</v>
      </c>
      <c r="AB27" s="4">
        <f>$K$27*$V$27</f>
        <v>0</v>
      </c>
      <c r="AC27" s="4">
        <f>$M$27*$W$27</f>
        <v>23726.864420000002</v>
      </c>
      <c r="AD27" s="4">
        <f>$O$27*$X$27</f>
        <v>59046.019339999999</v>
      </c>
      <c r="AE27" s="4">
        <f>$K$27*$Y$27</f>
        <v>0</v>
      </c>
      <c r="AF27" s="4">
        <f ca="1">$M$27*$Z$27</f>
        <v>37141.578817225753</v>
      </c>
      <c r="AG27" s="4">
        <f>$O$27*$AA$27</f>
        <v>53687.102714760578</v>
      </c>
    </row>
    <row r="28" spans="1:33" ht="11.25" customHeight="1" x14ac:dyDescent="0.25">
      <c r="A28" s="3" t="s">
        <v>21</v>
      </c>
      <c r="B28" s="3" t="s">
        <v>35</v>
      </c>
      <c r="C28" s="3" t="s">
        <v>39</v>
      </c>
      <c r="D28" s="3" t="s">
        <v>40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44501</v>
      </c>
      <c r="J28" s="4">
        <v>0</v>
      </c>
      <c r="K28" s="4">
        <v>0</v>
      </c>
      <c r="L28" s="4">
        <v>390.53</v>
      </c>
      <c r="M28" s="4">
        <v>390.53</v>
      </c>
      <c r="N28" s="4">
        <v>390.53</v>
      </c>
      <c r="O28" s="4">
        <v>390.53</v>
      </c>
      <c r="P28" s="4">
        <v>0</v>
      </c>
      <c r="Q28" s="3" t="s">
        <v>26</v>
      </c>
      <c r="R28" s="3">
        <v>0</v>
      </c>
      <c r="S28" s="4">
        <v>0</v>
      </c>
      <c r="T28" s="4">
        <v>50</v>
      </c>
      <c r="U28" s="4">
        <v>61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60.38</v>
      </c>
      <c r="X28" s="4">
        <f>IF(ISERROR(VLOOKUP($U$28,'TAR FIN'!$A$1:$O$88,15,0)),0,VLOOKUP($U$28,'TAR FIN'!$A$1:$O$88,15,0))</f>
        <v>150.26</v>
      </c>
      <c r="Y28" s="4"/>
      <c r="Z28" s="4">
        <f ca="1">('TUSD BE'!$AM$12+'TUSD BF'!$AM$12+'TUSD CVA'!$AM$12)*1</f>
        <v>94.517694765168258</v>
      </c>
      <c r="AA28" s="4">
        <f>('TE BE'!$AB$6+'TE BF'!$AB$6+'TE CVA'!$AB$6)*1</f>
        <v>136.62265710865657</v>
      </c>
      <c r="AB28" s="4">
        <f>$K$28*$V$28</f>
        <v>0</v>
      </c>
      <c r="AC28" s="4">
        <f>$M$28*$W$28</f>
        <v>23580.201399999998</v>
      </c>
      <c r="AD28" s="4">
        <f>$O$28*$X$28</f>
        <v>58681.037799999991</v>
      </c>
      <c r="AE28" s="4">
        <f>$K$28*$Y$28</f>
        <v>0</v>
      </c>
      <c r="AF28" s="4">
        <f ca="1">$M$28*$Z$28</f>
        <v>36911.995336641157</v>
      </c>
      <c r="AG28" s="4">
        <f>$O$28*$AA$28</f>
        <v>53355.246280643645</v>
      </c>
    </row>
    <row r="29" spans="1:33" ht="11.25" customHeight="1" x14ac:dyDescent="0.25">
      <c r="A29" s="3" t="s">
        <v>21</v>
      </c>
      <c r="B29" s="3" t="s">
        <v>35</v>
      </c>
      <c r="C29" s="3" t="s">
        <v>39</v>
      </c>
      <c r="D29" s="3" t="s">
        <v>40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44531</v>
      </c>
      <c r="J29" s="4">
        <v>0</v>
      </c>
      <c r="K29" s="4">
        <v>0</v>
      </c>
      <c r="L29" s="4">
        <v>416.24599999999998</v>
      </c>
      <c r="M29" s="4">
        <v>416.24599999999998</v>
      </c>
      <c r="N29" s="4">
        <v>416.24599999999998</v>
      </c>
      <c r="O29" s="4">
        <v>416.24599999999998</v>
      </c>
      <c r="P29" s="4">
        <v>0</v>
      </c>
      <c r="Q29" s="3" t="s">
        <v>26</v>
      </c>
      <c r="R29" s="3">
        <v>0</v>
      </c>
      <c r="S29" s="4">
        <v>0</v>
      </c>
      <c r="T29" s="4">
        <v>50</v>
      </c>
      <c r="U29" s="4">
        <v>61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60.38</v>
      </c>
      <c r="X29" s="4">
        <f>IF(ISERROR(VLOOKUP($U$29,'TAR FIN'!$A$1:$O$88,15,0)),0,VLOOKUP($U$29,'TAR FIN'!$A$1:$O$88,15,0))</f>
        <v>150.26</v>
      </c>
      <c r="Y29" s="4"/>
      <c r="Z29" s="4">
        <f ca="1">('TUSD BE'!$AM$12+'TUSD BF'!$AM$12+'TUSD CVA'!$AM$12)*1</f>
        <v>94.517694765168258</v>
      </c>
      <c r="AA29" s="4">
        <f>('TE BE'!$AB$6+'TE BF'!$AB$6+'TE CVA'!$AB$6)*1</f>
        <v>136.62265710865657</v>
      </c>
      <c r="AB29" s="4">
        <f>$K$29*$V$29</f>
        <v>0</v>
      </c>
      <c r="AC29" s="4">
        <f>$M$29*$W$29</f>
        <v>25132.93348</v>
      </c>
      <c r="AD29" s="4">
        <f>$O$29*$X$29</f>
        <v>62545.12395999999</v>
      </c>
      <c r="AE29" s="4">
        <f>$K$29*$Y$29</f>
        <v>0</v>
      </c>
      <c r="AF29" s="4">
        <f ca="1">$M$29*$Z$29</f>
        <v>39342.612375222227</v>
      </c>
      <c r="AG29" s="4">
        <f>$O$29*$AA$29</f>
        <v>56868.634530849857</v>
      </c>
    </row>
    <row r="30" spans="1:33" ht="11.25" customHeight="1" x14ac:dyDescent="0.25">
      <c r="A30" s="3" t="s">
        <v>21</v>
      </c>
      <c r="B30" s="3" t="s">
        <v>35</v>
      </c>
      <c r="C30" s="3" t="s">
        <v>39</v>
      </c>
      <c r="D30" s="3" t="s">
        <v>40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44562</v>
      </c>
      <c r="J30" s="4">
        <v>0</v>
      </c>
      <c r="K30" s="4">
        <v>0</v>
      </c>
      <c r="L30" s="4">
        <v>399.072</v>
      </c>
      <c r="M30" s="4">
        <v>399.072</v>
      </c>
      <c r="N30" s="4">
        <v>399.072</v>
      </c>
      <c r="O30" s="4">
        <v>399.072</v>
      </c>
      <c r="P30" s="4">
        <v>0</v>
      </c>
      <c r="Q30" s="3" t="s">
        <v>26</v>
      </c>
      <c r="R30" s="3">
        <v>0</v>
      </c>
      <c r="S30" s="4">
        <v>0</v>
      </c>
      <c r="T30" s="4">
        <v>50</v>
      </c>
      <c r="U30" s="4">
        <v>61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60.38</v>
      </c>
      <c r="X30" s="4">
        <f>IF(ISERROR(VLOOKUP($U$30,'TAR FIN'!$A$1:$O$88,15,0)),0,VLOOKUP($U$30,'TAR FIN'!$A$1:$O$88,15,0))</f>
        <v>150.26</v>
      </c>
      <c r="Y30" s="4"/>
      <c r="Z30" s="4">
        <f ca="1">('TUSD BE'!$AM$12+'TUSD BF'!$AM$12+'TUSD CVA'!$AM$12)*1</f>
        <v>94.517694765168258</v>
      </c>
      <c r="AA30" s="4">
        <f>('TE BE'!$AB$6+'TE BF'!$AB$6+'TE CVA'!$AB$6)*1</f>
        <v>136.62265710865657</v>
      </c>
      <c r="AB30" s="4">
        <f>$K$30*$V$30</f>
        <v>0</v>
      </c>
      <c r="AC30" s="4">
        <f>$M$30*$W$30</f>
        <v>24095.967360000002</v>
      </c>
      <c r="AD30" s="4">
        <f>$O$30*$X$30</f>
        <v>59964.558719999994</v>
      </c>
      <c r="AE30" s="4">
        <f>$K$30*$Y$30</f>
        <v>0</v>
      </c>
      <c r="AF30" s="4">
        <f ca="1">$M$30*$Z$30</f>
        <v>37719.36548532523</v>
      </c>
      <c r="AG30" s="4">
        <f>$O$30*$AA$30</f>
        <v>54522.277017665794</v>
      </c>
    </row>
    <row r="31" spans="1:33" ht="11.25" customHeight="1" x14ac:dyDescent="0.25">
      <c r="A31" s="3" t="s">
        <v>21</v>
      </c>
      <c r="B31" s="3" t="s">
        <v>35</v>
      </c>
      <c r="C31" s="3" t="s">
        <v>39</v>
      </c>
      <c r="D31" s="3" t="s">
        <v>40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44593</v>
      </c>
      <c r="J31" s="4">
        <v>0</v>
      </c>
      <c r="K31" s="4">
        <v>0</v>
      </c>
      <c r="L31" s="4">
        <v>453.76799999999997</v>
      </c>
      <c r="M31" s="4">
        <v>453.76799999999997</v>
      </c>
      <c r="N31" s="4">
        <v>453.76799999999997</v>
      </c>
      <c r="O31" s="4">
        <v>453.76799999999997</v>
      </c>
      <c r="P31" s="4">
        <v>0</v>
      </c>
      <c r="Q31" s="3" t="s">
        <v>26</v>
      </c>
      <c r="R31" s="3">
        <v>0</v>
      </c>
      <c r="S31" s="4">
        <v>0</v>
      </c>
      <c r="T31" s="4">
        <v>50</v>
      </c>
      <c r="U31" s="4">
        <v>61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60.38</v>
      </c>
      <c r="X31" s="4">
        <f>IF(ISERROR(VLOOKUP($U$31,'TAR FIN'!$A$1:$O$88,15,0)),0,VLOOKUP($U$31,'TAR FIN'!$A$1:$O$88,15,0))</f>
        <v>150.26</v>
      </c>
      <c r="Y31" s="4"/>
      <c r="Z31" s="4">
        <f ca="1">('TUSD BE'!$AM$12+'TUSD BF'!$AM$12+'TUSD CVA'!$AM$12)*1</f>
        <v>94.517694765168258</v>
      </c>
      <c r="AA31" s="4">
        <f>('TE BE'!$AB$6+'TE BF'!$AB$6+'TE CVA'!$AB$6)*1</f>
        <v>136.62265710865657</v>
      </c>
      <c r="AB31" s="4">
        <f>$K$31*$V$31</f>
        <v>0</v>
      </c>
      <c r="AC31" s="4">
        <f>$M$31*$W$31</f>
        <v>27398.511839999999</v>
      </c>
      <c r="AD31" s="4">
        <f>$O$31*$X$31</f>
        <v>68183.179679999987</v>
      </c>
      <c r="AE31" s="4">
        <f>$K$31*$Y$31</f>
        <v>0</v>
      </c>
      <c r="AF31" s="4">
        <f ca="1">$M$31*$Z$31</f>
        <v>42889.105318200869</v>
      </c>
      <c r="AG31" s="4">
        <f>$O$31*$AA$31</f>
        <v>61994.989870880869</v>
      </c>
    </row>
    <row r="32" spans="1:33" ht="11.25" customHeight="1" x14ac:dyDescent="0.25">
      <c r="A32" s="3" t="s">
        <v>21</v>
      </c>
      <c r="B32" s="3" t="s">
        <v>35</v>
      </c>
      <c r="C32" s="3" t="s">
        <v>39</v>
      </c>
      <c r="D32" s="3" t="s">
        <v>40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44621</v>
      </c>
      <c r="J32" s="4">
        <v>0</v>
      </c>
      <c r="K32" s="4">
        <v>0</v>
      </c>
      <c r="L32" s="4">
        <v>433.97800000000001</v>
      </c>
      <c r="M32" s="4">
        <v>433.97800000000001</v>
      </c>
      <c r="N32" s="4">
        <v>433.97800000000001</v>
      </c>
      <c r="O32" s="4">
        <v>433.97800000000001</v>
      </c>
      <c r="P32" s="4">
        <v>0</v>
      </c>
      <c r="Q32" s="3" t="s">
        <v>26</v>
      </c>
      <c r="R32" s="3">
        <v>0</v>
      </c>
      <c r="S32" s="4">
        <v>0</v>
      </c>
      <c r="T32" s="4">
        <v>50</v>
      </c>
      <c r="U32" s="4">
        <v>61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60.38</v>
      </c>
      <c r="X32" s="4">
        <f>IF(ISERROR(VLOOKUP($U$32,'TAR FIN'!$A$1:$O$88,15,0)),0,VLOOKUP($U$32,'TAR FIN'!$A$1:$O$88,15,0))</f>
        <v>150.26</v>
      </c>
      <c r="Y32" s="4"/>
      <c r="Z32" s="4">
        <f ca="1">('TUSD BE'!$AM$12+'TUSD BF'!$AM$12+'TUSD CVA'!$AM$12)*1</f>
        <v>94.517694765168258</v>
      </c>
      <c r="AA32" s="4">
        <f>('TE BE'!$AB$6+'TE BF'!$AB$6+'TE CVA'!$AB$6)*1</f>
        <v>136.62265710865657</v>
      </c>
      <c r="AB32" s="4">
        <f>$K$32*$V$32</f>
        <v>0</v>
      </c>
      <c r="AC32" s="4">
        <f>$M$32*$W$32</f>
        <v>26203.591640000002</v>
      </c>
      <c r="AD32" s="4">
        <f>$O$32*$X$32</f>
        <v>65209.53428</v>
      </c>
      <c r="AE32" s="4">
        <f>$K$32*$Y$32</f>
        <v>0</v>
      </c>
      <c r="AF32" s="4">
        <f ca="1">$M$32*$Z$32</f>
        <v>41018.600138798189</v>
      </c>
      <c r="AG32" s="4">
        <f>$O$32*$AA$32</f>
        <v>59291.227486700562</v>
      </c>
    </row>
    <row r="33" spans="1:33" ht="11.25" customHeight="1" x14ac:dyDescent="0.25">
      <c r="A33" s="3" t="s">
        <v>21</v>
      </c>
      <c r="B33" s="3" t="s">
        <v>35</v>
      </c>
      <c r="C33" s="3" t="s">
        <v>39</v>
      </c>
      <c r="D33" s="3" t="s">
        <v>40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44652</v>
      </c>
      <c r="J33" s="4">
        <v>0</v>
      </c>
      <c r="K33" s="4">
        <v>0</v>
      </c>
      <c r="L33" s="4">
        <v>455.69799999999998</v>
      </c>
      <c r="M33" s="4">
        <v>455.69799999999998</v>
      </c>
      <c r="N33" s="4">
        <v>455.69799999999998</v>
      </c>
      <c r="O33" s="4">
        <v>455.69799999999998</v>
      </c>
      <c r="P33" s="4">
        <v>0</v>
      </c>
      <c r="Q33" s="3" t="s">
        <v>26</v>
      </c>
      <c r="R33" s="3">
        <v>0</v>
      </c>
      <c r="S33" s="4">
        <v>0</v>
      </c>
      <c r="T33" s="4">
        <v>50</v>
      </c>
      <c r="U33" s="4">
        <v>61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60.38</v>
      </c>
      <c r="X33" s="4">
        <f>IF(ISERROR(VLOOKUP($U$33,'TAR FIN'!$A$1:$O$88,15,0)),0,VLOOKUP($U$33,'TAR FIN'!$A$1:$O$88,15,0))</f>
        <v>150.26</v>
      </c>
      <c r="Y33" s="4"/>
      <c r="Z33" s="4">
        <f ca="1">('TUSD BE'!$AM$12+'TUSD BF'!$AM$12+'TUSD CVA'!$AM$12)*1</f>
        <v>94.517694765168258</v>
      </c>
      <c r="AA33" s="4">
        <f>('TE BE'!$AB$6+'TE BF'!$AB$6+'TE CVA'!$AB$6)*1</f>
        <v>136.62265710865657</v>
      </c>
      <c r="AB33" s="4">
        <f>$K$33*$V$33</f>
        <v>0</v>
      </c>
      <c r="AC33" s="4">
        <f>$M$33*$W$33</f>
        <v>27515.045239999999</v>
      </c>
      <c r="AD33" s="4">
        <f>$O$33*$X$33</f>
        <v>68473.181479999999</v>
      </c>
      <c r="AE33" s="4">
        <f>$K$33*$Y$33</f>
        <v>0</v>
      </c>
      <c r="AF33" s="4">
        <f ca="1">$M$33*$Z$33</f>
        <v>43071.52446909764</v>
      </c>
      <c r="AG33" s="4">
        <f>$O$33*$AA$33</f>
        <v>62258.671599100577</v>
      </c>
    </row>
    <row r="34" spans="1:33" ht="11.25" customHeight="1" x14ac:dyDescent="0.25">
      <c r="A34" s="3" t="s">
        <v>21</v>
      </c>
      <c r="B34" s="3" t="s">
        <v>35</v>
      </c>
      <c r="C34" s="3" t="s">
        <v>39</v>
      </c>
      <c r="D34" s="3" t="s">
        <v>40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44682</v>
      </c>
      <c r="J34" s="4">
        <v>0</v>
      </c>
      <c r="K34" s="4">
        <v>0</v>
      </c>
      <c r="L34" s="4">
        <v>388.16300000000001</v>
      </c>
      <c r="M34" s="4">
        <v>388.16300000000001</v>
      </c>
      <c r="N34" s="4">
        <v>388.16300000000001</v>
      </c>
      <c r="O34" s="4">
        <v>388.16300000000001</v>
      </c>
      <c r="P34" s="4">
        <v>0</v>
      </c>
      <c r="Q34" s="3" t="s">
        <v>26</v>
      </c>
      <c r="R34" s="3">
        <v>0</v>
      </c>
      <c r="S34" s="4">
        <v>0</v>
      </c>
      <c r="T34" s="4">
        <v>50</v>
      </c>
      <c r="U34" s="4">
        <v>61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60.38</v>
      </c>
      <c r="X34" s="4">
        <f>IF(ISERROR(VLOOKUP($U$34,'TAR FIN'!$A$1:$O$88,15,0)),0,VLOOKUP($U$34,'TAR FIN'!$A$1:$O$88,15,0))</f>
        <v>150.26</v>
      </c>
      <c r="Y34" s="4"/>
      <c r="Z34" s="4">
        <f ca="1">('TUSD BE'!$AM$12+'TUSD BF'!$AM$12+'TUSD CVA'!$AM$12)*1</f>
        <v>94.517694765168258</v>
      </c>
      <c r="AA34" s="4">
        <f>('TE BE'!$AB$6+'TE BF'!$AB$6+'TE CVA'!$AB$6)*1</f>
        <v>136.62265710865657</v>
      </c>
      <c r="AB34" s="4">
        <f>$K$34*$V$34</f>
        <v>0</v>
      </c>
      <c r="AC34" s="4">
        <f>$M$34*$W$34</f>
        <v>23437.281940000001</v>
      </c>
      <c r="AD34" s="4">
        <f>$O$34*$X$34</f>
        <v>58325.372380000001</v>
      </c>
      <c r="AE34" s="4">
        <f>$K$34*$Y$34</f>
        <v>0</v>
      </c>
      <c r="AF34" s="4">
        <f ca="1">$M$34*$Z$34</f>
        <v>36688.271953132011</v>
      </c>
      <c r="AG34" s="4">
        <f>$O$34*$AA$34</f>
        <v>53031.860451267465</v>
      </c>
    </row>
    <row r="35" spans="1:33" ht="11.25" customHeight="1" x14ac:dyDescent="0.25">
      <c r="A35" s="3" t="s">
        <v>21</v>
      </c>
      <c r="B35" s="3" t="s">
        <v>35</v>
      </c>
      <c r="C35" s="3" t="s">
        <v>39</v>
      </c>
      <c r="D35" s="3" t="s">
        <v>40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44713</v>
      </c>
      <c r="J35" s="4">
        <v>0</v>
      </c>
      <c r="K35" s="4">
        <v>0</v>
      </c>
      <c r="L35" s="4">
        <v>407.42399999999998</v>
      </c>
      <c r="M35" s="4">
        <v>407.42399999999998</v>
      </c>
      <c r="N35" s="4">
        <v>407.42399999999998</v>
      </c>
      <c r="O35" s="4">
        <v>407.42399999999998</v>
      </c>
      <c r="P35" s="4">
        <v>0</v>
      </c>
      <c r="Q35" s="3" t="s">
        <v>26</v>
      </c>
      <c r="R35" s="3">
        <v>0</v>
      </c>
      <c r="S35" s="4">
        <v>0</v>
      </c>
      <c r="T35" s="4">
        <v>50</v>
      </c>
      <c r="U35" s="4">
        <v>61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60.38</v>
      </c>
      <c r="X35" s="4">
        <f>IF(ISERROR(VLOOKUP($U$35,'TAR FIN'!$A$1:$O$88,15,0)),0,VLOOKUP($U$35,'TAR FIN'!$A$1:$O$88,15,0))</f>
        <v>150.26</v>
      </c>
      <c r="Y35" s="4"/>
      <c r="Z35" s="4">
        <f ca="1">('TUSD BE'!$AM$12+'TUSD BF'!$AM$12+'TUSD CVA'!$AM$12)*1</f>
        <v>94.517694765168258</v>
      </c>
      <c r="AA35" s="4">
        <f>('TE BE'!$AB$6+'TE BF'!$AB$6+'TE CVA'!$AB$6)*1</f>
        <v>136.62265710865657</v>
      </c>
      <c r="AB35" s="4">
        <f>$K$35*$V$35</f>
        <v>0</v>
      </c>
      <c r="AC35" s="4">
        <f>$M$35*$W$35</f>
        <v>24600.261119999999</v>
      </c>
      <c r="AD35" s="4">
        <f>$O$35*$X$35</f>
        <v>61219.530239999993</v>
      </c>
      <c r="AE35" s="4">
        <f>$K$35*$Y$35</f>
        <v>0</v>
      </c>
      <c r="AF35" s="4">
        <f ca="1">$M$35*$Z$35</f>
        <v>38508.777272003914</v>
      </c>
      <c r="AG35" s="4">
        <f>$O$35*$AA$35</f>
        <v>55663.349449837289</v>
      </c>
    </row>
    <row r="36" spans="1:33" ht="11.25" customHeight="1" x14ac:dyDescent="0.25">
      <c r="A36" s="3" t="s">
        <v>21</v>
      </c>
      <c r="B36" s="3" t="s">
        <v>35</v>
      </c>
      <c r="C36" s="3" t="s">
        <v>39</v>
      </c>
      <c r="D36" s="3" t="s">
        <v>40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44743</v>
      </c>
      <c r="J36" s="4">
        <v>0</v>
      </c>
      <c r="K36" s="4">
        <v>0</v>
      </c>
      <c r="L36" s="4">
        <v>401.84199999999998</v>
      </c>
      <c r="M36" s="4">
        <v>401.84199999999998</v>
      </c>
      <c r="N36" s="4">
        <v>401.84199999999998</v>
      </c>
      <c r="O36" s="4">
        <v>401.84199999999998</v>
      </c>
      <c r="P36" s="4">
        <v>0</v>
      </c>
      <c r="Q36" s="3" t="s">
        <v>26</v>
      </c>
      <c r="R36" s="3">
        <v>0</v>
      </c>
      <c r="S36" s="4">
        <v>0</v>
      </c>
      <c r="T36" s="4">
        <v>50</v>
      </c>
      <c r="U36" s="4">
        <v>61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60.38</v>
      </c>
      <c r="X36" s="4">
        <f>IF(ISERROR(VLOOKUP($U$36,'TAR FIN'!$A$1:$O$88,15,0)),0,VLOOKUP($U$36,'TAR FIN'!$A$1:$O$88,15,0))</f>
        <v>150.26</v>
      </c>
      <c r="Y36" s="4"/>
      <c r="Z36" s="4">
        <f ca="1">('TUSD BE'!$AM$12+'TUSD BF'!$AM$12+'TUSD CVA'!$AM$12)*1</f>
        <v>94.517694765168258</v>
      </c>
      <c r="AA36" s="4">
        <f>('TE BE'!$AB$6+'TE BF'!$AB$6+'TE CVA'!$AB$6)*1</f>
        <v>136.62265710865657</v>
      </c>
      <c r="AB36" s="4">
        <f>$K$36*$V$36</f>
        <v>0</v>
      </c>
      <c r="AC36" s="4">
        <f>$M$36*$W$36</f>
        <v>24263.219959999999</v>
      </c>
      <c r="AD36" s="4">
        <f>$O$36*$X$36</f>
        <v>60380.778919999997</v>
      </c>
      <c r="AE36" s="4">
        <f>$K$36*$Y$36</f>
        <v>0</v>
      </c>
      <c r="AF36" s="4">
        <f ca="1">$M$36*$Z$36</f>
        <v>37981.179499824742</v>
      </c>
      <c r="AG36" s="4">
        <f>$O$36*$AA$36</f>
        <v>54900.721777856772</v>
      </c>
    </row>
    <row r="37" spans="1:33" ht="11.25" customHeight="1" x14ac:dyDescent="0.25">
      <c r="A37" s="3" t="s">
        <v>55</v>
      </c>
      <c r="B37" s="3" t="s">
        <v>35</v>
      </c>
      <c r="C37" s="3" t="s">
        <v>39</v>
      </c>
      <c r="D37" s="3" t="s">
        <v>40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44774</v>
      </c>
      <c r="J37" s="4">
        <v>0</v>
      </c>
      <c r="K37" s="4">
        <v>0</v>
      </c>
      <c r="L37" s="4">
        <v>401.84199999999998</v>
      </c>
      <c r="M37" s="4">
        <v>401.84199999999998</v>
      </c>
      <c r="N37" s="4">
        <v>401.84199999999998</v>
      </c>
      <c r="O37" s="4">
        <v>401.84199999999998</v>
      </c>
      <c r="P37" s="4">
        <v>0</v>
      </c>
      <c r="Q37" s="3" t="s">
        <v>26</v>
      </c>
      <c r="R37" s="3">
        <v>0</v>
      </c>
      <c r="S37" s="4">
        <v>0</v>
      </c>
      <c r="T37" s="4">
        <v>50</v>
      </c>
      <c r="U37" s="4">
        <v>61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60.38</v>
      </c>
      <c r="X37" s="4">
        <f>IF(ISERROR(VLOOKUP($U$37,'TAR FIN'!$A$1:$O$88,15,0)),0,VLOOKUP($U$37,'TAR FIN'!$A$1:$O$88,15,0))</f>
        <v>150.26</v>
      </c>
      <c r="Y37" s="4"/>
      <c r="Z37" s="4">
        <f ca="1">('TUSD BE'!$AM$12+'TUSD BF'!$AM$12+'TUSD CVA'!$AM$12)*1</f>
        <v>94.517694765168258</v>
      </c>
      <c r="AA37" s="4">
        <f>('TE BE'!$AB$6+'TE BF'!$AB$6+'TE CVA'!$AB$6)*1</f>
        <v>136.62265710865657</v>
      </c>
      <c r="AB37" s="4">
        <f>$K$37*$V$37</f>
        <v>0</v>
      </c>
      <c r="AC37" s="4">
        <f>$M$37*$W$37</f>
        <v>24263.219959999999</v>
      </c>
      <c r="AD37" s="4">
        <f>$O$37*$X$37</f>
        <v>60380.778919999997</v>
      </c>
      <c r="AE37" s="4">
        <f>$K$37*$Y$37</f>
        <v>0</v>
      </c>
      <c r="AF37" s="4">
        <f ca="1">$M$37*$Z$37</f>
        <v>37981.179499824742</v>
      </c>
      <c r="AG37" s="4">
        <f>$O$37*$AA$37</f>
        <v>54900.721777856772</v>
      </c>
    </row>
    <row r="38" spans="1:33" ht="11.25" customHeight="1" x14ac:dyDescent="0.25">
      <c r="A38" s="3" t="s">
        <v>21</v>
      </c>
      <c r="B38" s="3" t="s">
        <v>35</v>
      </c>
      <c r="C38" s="3" t="s">
        <v>39</v>
      </c>
      <c r="D38" s="3" t="s">
        <v>40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44440</v>
      </c>
      <c r="J38" s="4">
        <v>1808</v>
      </c>
      <c r="K38" s="4">
        <v>1808</v>
      </c>
      <c r="L38" s="4">
        <v>0</v>
      </c>
      <c r="M38" s="4">
        <v>0</v>
      </c>
      <c r="N38" s="4">
        <v>0</v>
      </c>
      <c r="O38" s="4">
        <v>0</v>
      </c>
      <c r="P38" s="4">
        <v>15</v>
      </c>
      <c r="Q38" s="3" t="s">
        <v>26</v>
      </c>
      <c r="R38" s="3">
        <v>0</v>
      </c>
      <c r="S38" s="4">
        <v>46</v>
      </c>
      <c r="T38" s="4">
        <v>0</v>
      </c>
      <c r="U38" s="4">
        <v>0</v>
      </c>
      <c r="V38" s="4">
        <f>IF(ISERROR(VLOOKUP($S$38,'TAR FIN'!$A$1:$O$88,15,0)),0,VLOOKUP($S$38,'TAR FIN'!$A$1:$O$88,15,0))</f>
        <v>34.479999999999997</v>
      </c>
      <c r="W38" s="4">
        <f>IF(ISERROR(VLOOKUP($T$38,'TAR FIN'!$A$1:$O$88,15,0)),0,VLOOKUP($T$38,'TAR FIN'!$A$1:$O$88,15,0))</f>
        <v>0</v>
      </c>
      <c r="X38" s="4">
        <f>IF(ISERROR(VLOOKUP($U$38,'TAR FIN'!$A$1:$O$88,15,0)),0,VLOOKUP($U$38,'TAR FIN'!$A$1:$O$88,15,0))</f>
        <v>0</v>
      </c>
      <c r="Y38" s="4">
        <f ca="1">('TUSD BE'!$AM$10+'TUSD BF'!$AM$10+'TUSD CVA'!$AM$10)*1</f>
        <v>37.721850071081427</v>
      </c>
      <c r="Z38" s="4"/>
      <c r="AA38" s="4"/>
      <c r="AB38" s="4">
        <f>$K$38*$V$38</f>
        <v>62339.839999999997</v>
      </c>
      <c r="AC38" s="4">
        <f>$M$38*$W$38</f>
        <v>0</v>
      </c>
      <c r="AD38" s="4">
        <f>$O$38*$X$38</f>
        <v>0</v>
      </c>
      <c r="AE38" s="4">
        <f ca="1">$K$38*$Y$38</f>
        <v>68201.104928515226</v>
      </c>
      <c r="AF38" s="4">
        <f>$M$38*$Z$38</f>
        <v>0</v>
      </c>
      <c r="AG38" s="4">
        <f>$O$38*$AA$38</f>
        <v>0</v>
      </c>
    </row>
    <row r="39" spans="1:33" ht="11.25" customHeight="1" x14ac:dyDescent="0.25">
      <c r="A39" s="3" t="s">
        <v>21</v>
      </c>
      <c r="B39" s="3" t="s">
        <v>35</v>
      </c>
      <c r="C39" s="3" t="s">
        <v>39</v>
      </c>
      <c r="D39" s="3" t="s">
        <v>40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44470</v>
      </c>
      <c r="J39" s="4">
        <v>1882</v>
      </c>
      <c r="K39" s="4">
        <v>1882</v>
      </c>
      <c r="L39" s="4">
        <v>0</v>
      </c>
      <c r="M39" s="4">
        <v>0</v>
      </c>
      <c r="N39" s="4">
        <v>0</v>
      </c>
      <c r="O39" s="4">
        <v>0</v>
      </c>
      <c r="P39" s="4">
        <v>15</v>
      </c>
      <c r="Q39" s="3" t="s">
        <v>26</v>
      </c>
      <c r="R39" s="3">
        <v>0</v>
      </c>
      <c r="S39" s="4">
        <v>46</v>
      </c>
      <c r="T39" s="4">
        <v>0</v>
      </c>
      <c r="U39" s="4">
        <v>0</v>
      </c>
      <c r="V39" s="4">
        <f>IF(ISERROR(VLOOKUP($S$39,'TAR FIN'!$A$1:$O$88,15,0)),0,VLOOKUP($S$39,'TAR FIN'!$A$1:$O$88,15,0))</f>
        <v>34.479999999999997</v>
      </c>
      <c r="W39" s="4">
        <f>IF(ISERROR(VLOOKUP($T$39,'TAR FIN'!$A$1:$O$88,15,0)),0,VLOOKUP($T$39,'TAR FIN'!$A$1:$O$88,15,0))</f>
        <v>0</v>
      </c>
      <c r="X39" s="4">
        <f>IF(ISERROR(VLOOKUP($U$39,'TAR FIN'!$A$1:$O$88,15,0)),0,VLOOKUP($U$39,'TAR FIN'!$A$1:$O$88,15,0))</f>
        <v>0</v>
      </c>
      <c r="Y39" s="4">
        <f ca="1">('TUSD BE'!$AM$10+'TUSD BF'!$AM$10+'TUSD CVA'!$AM$10)*1</f>
        <v>37.721850071081427</v>
      </c>
      <c r="Z39" s="4"/>
      <c r="AA39" s="4"/>
      <c r="AB39" s="4">
        <f>$K$39*$V$39</f>
        <v>64891.359999999993</v>
      </c>
      <c r="AC39" s="4">
        <f>$M$39*$W$39</f>
        <v>0</v>
      </c>
      <c r="AD39" s="4">
        <f>$O$39*$X$39</f>
        <v>0</v>
      </c>
      <c r="AE39" s="4">
        <f ca="1">$K$39*$Y$39</f>
        <v>70992.521833775245</v>
      </c>
      <c r="AF39" s="4">
        <f>$M$39*$Z$39</f>
        <v>0</v>
      </c>
      <c r="AG39" s="4">
        <f>$O$39*$AA$39</f>
        <v>0</v>
      </c>
    </row>
    <row r="40" spans="1:33" ht="11.25" customHeight="1" x14ac:dyDescent="0.25">
      <c r="A40" s="3" t="s">
        <v>21</v>
      </c>
      <c r="B40" s="3" t="s">
        <v>35</v>
      </c>
      <c r="C40" s="3" t="s">
        <v>39</v>
      </c>
      <c r="D40" s="3" t="s">
        <v>40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44501</v>
      </c>
      <c r="J40" s="4">
        <v>1860</v>
      </c>
      <c r="K40" s="4">
        <v>1860</v>
      </c>
      <c r="L40" s="4">
        <v>0</v>
      </c>
      <c r="M40" s="4">
        <v>0</v>
      </c>
      <c r="N40" s="4">
        <v>0</v>
      </c>
      <c r="O40" s="4">
        <v>0</v>
      </c>
      <c r="P40" s="4">
        <v>15</v>
      </c>
      <c r="Q40" s="3" t="s">
        <v>26</v>
      </c>
      <c r="R40" s="3">
        <v>0</v>
      </c>
      <c r="S40" s="4">
        <v>46</v>
      </c>
      <c r="T40" s="4">
        <v>0</v>
      </c>
      <c r="U40" s="4">
        <v>0</v>
      </c>
      <c r="V40" s="4">
        <f>IF(ISERROR(VLOOKUP($S$40,'TAR FIN'!$A$1:$O$88,15,0)),0,VLOOKUP($S$40,'TAR FIN'!$A$1:$O$88,15,0))</f>
        <v>34.479999999999997</v>
      </c>
      <c r="W40" s="4">
        <f>IF(ISERROR(VLOOKUP($T$40,'TAR FIN'!$A$1:$O$88,15,0)),0,VLOOKUP($T$40,'TAR FIN'!$A$1:$O$88,15,0))</f>
        <v>0</v>
      </c>
      <c r="X40" s="4">
        <f>IF(ISERROR(VLOOKUP($U$40,'TAR FIN'!$A$1:$O$88,15,0)),0,VLOOKUP($U$40,'TAR FIN'!$A$1:$O$88,15,0))</f>
        <v>0</v>
      </c>
      <c r="Y40" s="4">
        <f ca="1">('TUSD BE'!$AM$10+'TUSD BF'!$AM$10+'TUSD CVA'!$AM$10)*1</f>
        <v>37.721850071081427</v>
      </c>
      <c r="Z40" s="4"/>
      <c r="AA40" s="4"/>
      <c r="AB40" s="4">
        <f>$K$40*$V$40</f>
        <v>64132.799999999996</v>
      </c>
      <c r="AC40" s="4">
        <f>$M$40*$W$40</f>
        <v>0</v>
      </c>
      <c r="AD40" s="4">
        <f>$O$40*$X$40</f>
        <v>0</v>
      </c>
      <c r="AE40" s="4">
        <f ca="1">$K$40*$Y$40</f>
        <v>70162.641132211458</v>
      </c>
      <c r="AF40" s="4">
        <f>$M$40*$Z$40</f>
        <v>0</v>
      </c>
      <c r="AG40" s="4">
        <f>$O$40*$AA$40</f>
        <v>0</v>
      </c>
    </row>
    <row r="41" spans="1:33" ht="11.25" customHeight="1" x14ac:dyDescent="0.25">
      <c r="A41" s="3" t="s">
        <v>21</v>
      </c>
      <c r="B41" s="3" t="s">
        <v>35</v>
      </c>
      <c r="C41" s="3" t="s">
        <v>39</v>
      </c>
      <c r="D41" s="3" t="s">
        <v>40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44531</v>
      </c>
      <c r="J41" s="4">
        <v>1878</v>
      </c>
      <c r="K41" s="4">
        <v>1878</v>
      </c>
      <c r="L41" s="4">
        <v>0</v>
      </c>
      <c r="M41" s="4">
        <v>0</v>
      </c>
      <c r="N41" s="4">
        <v>0</v>
      </c>
      <c r="O41" s="4">
        <v>0</v>
      </c>
      <c r="P41" s="4">
        <v>15</v>
      </c>
      <c r="Q41" s="3" t="s">
        <v>26</v>
      </c>
      <c r="R41" s="3">
        <v>0</v>
      </c>
      <c r="S41" s="4">
        <v>46</v>
      </c>
      <c r="T41" s="4">
        <v>0</v>
      </c>
      <c r="U41" s="4">
        <v>0</v>
      </c>
      <c r="V41" s="4">
        <f>IF(ISERROR(VLOOKUP($S$41,'TAR FIN'!$A$1:$O$88,15,0)),0,VLOOKUP($S$41,'TAR FIN'!$A$1:$O$88,15,0))</f>
        <v>34.479999999999997</v>
      </c>
      <c r="W41" s="4">
        <f>IF(ISERROR(VLOOKUP($T$41,'TAR FIN'!$A$1:$O$88,15,0)),0,VLOOKUP($T$41,'TAR FIN'!$A$1:$O$88,15,0))</f>
        <v>0</v>
      </c>
      <c r="X41" s="4">
        <f>IF(ISERROR(VLOOKUP($U$41,'TAR FIN'!$A$1:$O$88,15,0)),0,VLOOKUP($U$41,'TAR FIN'!$A$1:$O$88,15,0))</f>
        <v>0</v>
      </c>
      <c r="Y41" s="4">
        <f ca="1">('TUSD BE'!$AM$10+'TUSD BF'!$AM$10+'TUSD CVA'!$AM$10)*1</f>
        <v>37.721850071081427</v>
      </c>
      <c r="Z41" s="4"/>
      <c r="AA41" s="4"/>
      <c r="AB41" s="4">
        <f>$K$41*$V$41</f>
        <v>64753.439999999995</v>
      </c>
      <c r="AC41" s="4">
        <f>$M$41*$W$41</f>
        <v>0</v>
      </c>
      <c r="AD41" s="4">
        <f>$O$41*$X$41</f>
        <v>0</v>
      </c>
      <c r="AE41" s="4">
        <f ca="1">$K$41*$Y$41</f>
        <v>70841.634433490923</v>
      </c>
      <c r="AF41" s="4">
        <f>$M$41*$Z$41</f>
        <v>0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35</v>
      </c>
      <c r="C42" s="3" t="s">
        <v>39</v>
      </c>
      <c r="D42" s="3" t="s">
        <v>40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44562</v>
      </c>
      <c r="J42" s="4">
        <v>1831</v>
      </c>
      <c r="K42" s="4">
        <v>1831</v>
      </c>
      <c r="L42" s="4">
        <v>0</v>
      </c>
      <c r="M42" s="4">
        <v>0</v>
      </c>
      <c r="N42" s="4">
        <v>0</v>
      </c>
      <c r="O42" s="4">
        <v>0</v>
      </c>
      <c r="P42" s="4">
        <v>14</v>
      </c>
      <c r="Q42" s="3" t="s">
        <v>26</v>
      </c>
      <c r="R42" s="3">
        <v>0</v>
      </c>
      <c r="S42" s="4">
        <v>46</v>
      </c>
      <c r="T42" s="4">
        <v>0</v>
      </c>
      <c r="U42" s="4">
        <v>0</v>
      </c>
      <c r="V42" s="4">
        <f>IF(ISERROR(VLOOKUP($S$42,'TAR FIN'!$A$1:$O$88,15,0)),0,VLOOKUP($S$42,'TAR FIN'!$A$1:$O$88,15,0))</f>
        <v>34.479999999999997</v>
      </c>
      <c r="W42" s="4">
        <f>IF(ISERROR(VLOOKUP($T$42,'TAR FIN'!$A$1:$O$88,15,0)),0,VLOOKUP($T$42,'TAR FIN'!$A$1:$O$88,15,0))</f>
        <v>0</v>
      </c>
      <c r="X42" s="4">
        <f>IF(ISERROR(VLOOKUP($U$42,'TAR FIN'!$A$1:$O$88,15,0)),0,VLOOKUP($U$42,'TAR FIN'!$A$1:$O$88,15,0))</f>
        <v>0</v>
      </c>
      <c r="Y42" s="4">
        <f ca="1">('TUSD BE'!$AM$10+'TUSD BF'!$AM$10+'TUSD CVA'!$AM$10)*1</f>
        <v>37.721850071081427</v>
      </c>
      <c r="Z42" s="4"/>
      <c r="AA42" s="4"/>
      <c r="AB42" s="4">
        <f>$K$42*$V$42</f>
        <v>63132.88</v>
      </c>
      <c r="AC42" s="4">
        <f>$M$42*$W$42</f>
        <v>0</v>
      </c>
      <c r="AD42" s="4">
        <f>$O$42*$X$42</f>
        <v>0</v>
      </c>
      <c r="AE42" s="4">
        <f ca="1">$K$42*$Y$42</f>
        <v>69068.707480150086</v>
      </c>
      <c r="AF42" s="4">
        <f>$M$42*$Z$42</f>
        <v>0</v>
      </c>
      <c r="AG42" s="4">
        <f>$O$42*$AA$42</f>
        <v>0</v>
      </c>
    </row>
    <row r="43" spans="1:33" ht="11.25" customHeight="1" x14ac:dyDescent="0.25">
      <c r="A43" s="3" t="s">
        <v>21</v>
      </c>
      <c r="B43" s="3" t="s">
        <v>35</v>
      </c>
      <c r="C43" s="3" t="s">
        <v>39</v>
      </c>
      <c r="D43" s="3" t="s">
        <v>40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44593</v>
      </c>
      <c r="J43" s="4">
        <v>1882</v>
      </c>
      <c r="K43" s="4">
        <v>1882</v>
      </c>
      <c r="L43" s="4">
        <v>0</v>
      </c>
      <c r="M43" s="4">
        <v>0</v>
      </c>
      <c r="N43" s="4">
        <v>0</v>
      </c>
      <c r="O43" s="4">
        <v>0</v>
      </c>
      <c r="P43" s="4">
        <v>14</v>
      </c>
      <c r="Q43" s="3" t="s">
        <v>26</v>
      </c>
      <c r="R43" s="3">
        <v>0</v>
      </c>
      <c r="S43" s="4">
        <v>46</v>
      </c>
      <c r="T43" s="4">
        <v>0</v>
      </c>
      <c r="U43" s="4">
        <v>0</v>
      </c>
      <c r="V43" s="4">
        <f>IF(ISERROR(VLOOKUP($S$43,'TAR FIN'!$A$1:$O$88,15,0)),0,VLOOKUP($S$43,'TAR FIN'!$A$1:$O$88,15,0))</f>
        <v>34.479999999999997</v>
      </c>
      <c r="W43" s="4">
        <f>IF(ISERROR(VLOOKUP($T$43,'TAR FIN'!$A$1:$O$88,15,0)),0,VLOOKUP($T$43,'TAR FIN'!$A$1:$O$88,15,0))</f>
        <v>0</v>
      </c>
      <c r="X43" s="4">
        <f>IF(ISERROR(VLOOKUP($U$43,'TAR FIN'!$A$1:$O$88,15,0)),0,VLOOKUP($U$43,'TAR FIN'!$A$1:$O$88,15,0))</f>
        <v>0</v>
      </c>
      <c r="Y43" s="4">
        <f ca="1">('TUSD BE'!$AM$10+'TUSD BF'!$AM$10+'TUSD CVA'!$AM$10)*1</f>
        <v>37.721850071081427</v>
      </c>
      <c r="Z43" s="4"/>
      <c r="AA43" s="4"/>
      <c r="AB43" s="4">
        <f>$K$43*$V$43</f>
        <v>64891.359999999993</v>
      </c>
      <c r="AC43" s="4">
        <f>$M$43*$W$43</f>
        <v>0</v>
      </c>
      <c r="AD43" s="4">
        <f>$O$43*$X$43</f>
        <v>0</v>
      </c>
      <c r="AE43" s="4">
        <f ca="1">$K$43*$Y$43</f>
        <v>70992.521833775245</v>
      </c>
      <c r="AF43" s="4">
        <f>$M$43*$Z$43</f>
        <v>0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35</v>
      </c>
      <c r="C44" s="3" t="s">
        <v>39</v>
      </c>
      <c r="D44" s="3" t="s">
        <v>40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44621</v>
      </c>
      <c r="J44" s="4">
        <v>1865</v>
      </c>
      <c r="K44" s="4">
        <v>1865</v>
      </c>
      <c r="L44" s="4">
        <v>0</v>
      </c>
      <c r="M44" s="4">
        <v>0</v>
      </c>
      <c r="N44" s="4">
        <v>0</v>
      </c>
      <c r="O44" s="4">
        <v>0</v>
      </c>
      <c r="P44" s="4">
        <v>14</v>
      </c>
      <c r="Q44" s="3" t="s">
        <v>26</v>
      </c>
      <c r="R44" s="3">
        <v>0</v>
      </c>
      <c r="S44" s="4">
        <v>46</v>
      </c>
      <c r="T44" s="4">
        <v>0</v>
      </c>
      <c r="U44" s="4">
        <v>0</v>
      </c>
      <c r="V44" s="4">
        <f>IF(ISERROR(VLOOKUP($S$44,'TAR FIN'!$A$1:$O$88,15,0)),0,VLOOKUP($S$44,'TAR FIN'!$A$1:$O$88,15,0))</f>
        <v>34.479999999999997</v>
      </c>
      <c r="W44" s="4">
        <f>IF(ISERROR(VLOOKUP($T$44,'TAR FIN'!$A$1:$O$88,15,0)),0,VLOOKUP($T$44,'TAR FIN'!$A$1:$O$88,15,0))</f>
        <v>0</v>
      </c>
      <c r="X44" s="4">
        <f>IF(ISERROR(VLOOKUP($U$44,'TAR FIN'!$A$1:$O$88,15,0)),0,VLOOKUP($U$44,'TAR FIN'!$A$1:$O$88,15,0))</f>
        <v>0</v>
      </c>
      <c r="Y44" s="4">
        <f ca="1">('TUSD BE'!$AM$10+'TUSD BF'!$AM$10+'TUSD CVA'!$AM$10)*1</f>
        <v>37.721850071081427</v>
      </c>
      <c r="Z44" s="4"/>
      <c r="AA44" s="4"/>
      <c r="AB44" s="4">
        <f>$K$44*$V$44</f>
        <v>64305.2</v>
      </c>
      <c r="AC44" s="4">
        <f>$M$44*$W$44</f>
        <v>0</v>
      </c>
      <c r="AD44" s="4">
        <f>$O$44*$X$44</f>
        <v>0</v>
      </c>
      <c r="AE44" s="4">
        <f ca="1">$K$44*$Y$44</f>
        <v>70351.250382566868</v>
      </c>
      <c r="AF44" s="4">
        <f>$M$44*$Z$44</f>
        <v>0</v>
      </c>
      <c r="AG44" s="4">
        <f>$O$44*$AA$44</f>
        <v>0</v>
      </c>
    </row>
    <row r="45" spans="1:33" ht="11.25" customHeight="1" x14ac:dyDescent="0.25">
      <c r="A45" s="3" t="s">
        <v>21</v>
      </c>
      <c r="B45" s="3" t="s">
        <v>35</v>
      </c>
      <c r="C45" s="3" t="s">
        <v>39</v>
      </c>
      <c r="D45" s="3" t="s">
        <v>40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44652</v>
      </c>
      <c r="J45" s="4">
        <v>1885</v>
      </c>
      <c r="K45" s="4">
        <v>1885</v>
      </c>
      <c r="L45" s="4">
        <v>0</v>
      </c>
      <c r="M45" s="4">
        <v>0</v>
      </c>
      <c r="N45" s="4">
        <v>0</v>
      </c>
      <c r="O45" s="4">
        <v>0</v>
      </c>
      <c r="P45" s="4">
        <v>14</v>
      </c>
      <c r="Q45" s="3" t="s">
        <v>26</v>
      </c>
      <c r="R45" s="3">
        <v>0</v>
      </c>
      <c r="S45" s="4">
        <v>46</v>
      </c>
      <c r="T45" s="4">
        <v>0</v>
      </c>
      <c r="U45" s="4">
        <v>0</v>
      </c>
      <c r="V45" s="4">
        <f>IF(ISERROR(VLOOKUP($S$45,'TAR FIN'!$A$1:$O$88,15,0)),0,VLOOKUP($S$45,'TAR FIN'!$A$1:$O$88,15,0))</f>
        <v>34.479999999999997</v>
      </c>
      <c r="W45" s="4">
        <f>IF(ISERROR(VLOOKUP($T$45,'TAR FIN'!$A$1:$O$88,15,0)),0,VLOOKUP($T$45,'TAR FIN'!$A$1:$O$88,15,0))</f>
        <v>0</v>
      </c>
      <c r="X45" s="4">
        <f>IF(ISERROR(VLOOKUP($U$45,'TAR FIN'!$A$1:$O$88,15,0)),0,VLOOKUP($U$45,'TAR FIN'!$A$1:$O$88,15,0))</f>
        <v>0</v>
      </c>
      <c r="Y45" s="4">
        <f ca="1">('TUSD BE'!$AM$10+'TUSD BF'!$AM$10+'TUSD CVA'!$AM$10)*1</f>
        <v>37.721850071081427</v>
      </c>
      <c r="Z45" s="4"/>
      <c r="AA45" s="4"/>
      <c r="AB45" s="4">
        <f>$K$45*$V$45</f>
        <v>64994.799999999996</v>
      </c>
      <c r="AC45" s="4">
        <f>$M$45*$W$45</f>
        <v>0</v>
      </c>
      <c r="AD45" s="4">
        <f>$O$45*$X$45</f>
        <v>0</v>
      </c>
      <c r="AE45" s="4">
        <f ca="1">$K$45*$Y$45</f>
        <v>71105.687383988494</v>
      </c>
      <c r="AF45" s="4">
        <f>$M$45*$Z$45</f>
        <v>0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35</v>
      </c>
      <c r="C46" s="3" t="s">
        <v>39</v>
      </c>
      <c r="D46" s="3" t="s">
        <v>40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44682</v>
      </c>
      <c r="J46" s="4">
        <v>1853</v>
      </c>
      <c r="K46" s="4">
        <v>1853</v>
      </c>
      <c r="L46" s="4">
        <v>0</v>
      </c>
      <c r="M46" s="4">
        <v>0</v>
      </c>
      <c r="N46" s="4">
        <v>0</v>
      </c>
      <c r="O46" s="4">
        <v>0</v>
      </c>
      <c r="P46" s="4">
        <v>14</v>
      </c>
      <c r="Q46" s="3" t="s">
        <v>26</v>
      </c>
      <c r="R46" s="3">
        <v>0</v>
      </c>
      <c r="S46" s="4">
        <v>46</v>
      </c>
      <c r="T46" s="4">
        <v>0</v>
      </c>
      <c r="U46" s="4">
        <v>0</v>
      </c>
      <c r="V46" s="4">
        <f>IF(ISERROR(VLOOKUP($S$46,'TAR FIN'!$A$1:$O$88,15,0)),0,VLOOKUP($S$46,'TAR FIN'!$A$1:$O$88,15,0))</f>
        <v>34.479999999999997</v>
      </c>
      <c r="W46" s="4">
        <f>IF(ISERROR(VLOOKUP($T$46,'TAR FIN'!$A$1:$O$88,15,0)),0,VLOOKUP($T$46,'TAR FIN'!$A$1:$O$88,15,0))</f>
        <v>0</v>
      </c>
      <c r="X46" s="4">
        <f>IF(ISERROR(VLOOKUP($U$46,'TAR FIN'!$A$1:$O$88,15,0)),0,VLOOKUP($U$46,'TAR FIN'!$A$1:$O$88,15,0))</f>
        <v>0</v>
      </c>
      <c r="Y46" s="4">
        <f ca="1">('TUSD BE'!$AM$10+'TUSD BF'!$AM$10+'TUSD CVA'!$AM$10)*1</f>
        <v>37.721850071081427</v>
      </c>
      <c r="Z46" s="4"/>
      <c r="AA46" s="4"/>
      <c r="AB46" s="4">
        <f>$K$46*$V$46</f>
        <v>63891.439999999995</v>
      </c>
      <c r="AC46" s="4">
        <f>$M$46*$W$46</f>
        <v>0</v>
      </c>
      <c r="AD46" s="4">
        <f>$O$46*$X$46</f>
        <v>0</v>
      </c>
      <c r="AE46" s="4">
        <f ca="1">$K$46*$Y$46</f>
        <v>69898.588181713887</v>
      </c>
      <c r="AF46" s="4">
        <f>$M$46*$Z$46</f>
        <v>0</v>
      </c>
      <c r="AG46" s="4">
        <f>$O$46*$AA$46</f>
        <v>0</v>
      </c>
    </row>
    <row r="47" spans="1:33" ht="11.25" customHeight="1" x14ac:dyDescent="0.25">
      <c r="A47" s="3" t="s">
        <v>21</v>
      </c>
      <c r="B47" s="3" t="s">
        <v>35</v>
      </c>
      <c r="C47" s="3" t="s">
        <v>39</v>
      </c>
      <c r="D47" s="3" t="s">
        <v>40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44713</v>
      </c>
      <c r="J47" s="4">
        <v>1856</v>
      </c>
      <c r="K47" s="4">
        <v>1856</v>
      </c>
      <c r="L47" s="4">
        <v>0</v>
      </c>
      <c r="M47" s="4">
        <v>0</v>
      </c>
      <c r="N47" s="4">
        <v>0</v>
      </c>
      <c r="O47" s="4">
        <v>0</v>
      </c>
      <c r="P47" s="4">
        <v>14</v>
      </c>
      <c r="Q47" s="3" t="s">
        <v>26</v>
      </c>
      <c r="R47" s="3">
        <v>0</v>
      </c>
      <c r="S47" s="4">
        <v>46</v>
      </c>
      <c r="T47" s="4">
        <v>0</v>
      </c>
      <c r="U47" s="4">
        <v>0</v>
      </c>
      <c r="V47" s="4">
        <f>IF(ISERROR(VLOOKUP($S$47,'TAR FIN'!$A$1:$O$88,15,0)),0,VLOOKUP($S$47,'TAR FIN'!$A$1:$O$88,15,0))</f>
        <v>34.479999999999997</v>
      </c>
      <c r="W47" s="4">
        <f>IF(ISERROR(VLOOKUP($T$47,'TAR FIN'!$A$1:$O$88,15,0)),0,VLOOKUP($T$47,'TAR FIN'!$A$1:$O$88,15,0))</f>
        <v>0</v>
      </c>
      <c r="X47" s="4">
        <f>IF(ISERROR(VLOOKUP($U$47,'TAR FIN'!$A$1:$O$88,15,0)),0,VLOOKUP($U$47,'TAR FIN'!$A$1:$O$88,15,0))</f>
        <v>0</v>
      </c>
      <c r="Y47" s="4">
        <f ca="1">('TUSD BE'!$AM$10+'TUSD BF'!$AM$10+'TUSD CVA'!$AM$10)*1</f>
        <v>37.721850071081427</v>
      </c>
      <c r="Z47" s="4"/>
      <c r="AA47" s="4"/>
      <c r="AB47" s="4">
        <f>$K$47*$V$47</f>
        <v>63994.879999999997</v>
      </c>
      <c r="AC47" s="4">
        <f>$M$47*$W$47</f>
        <v>0</v>
      </c>
      <c r="AD47" s="4">
        <f>$O$47*$X$47</f>
        <v>0</v>
      </c>
      <c r="AE47" s="4">
        <f ca="1">$K$47*$Y$47</f>
        <v>70011.753731927121</v>
      </c>
      <c r="AF47" s="4">
        <f>$M$47*$Z$47</f>
        <v>0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35</v>
      </c>
      <c r="C48" s="3" t="s">
        <v>39</v>
      </c>
      <c r="D48" s="3" t="s">
        <v>40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44743</v>
      </c>
      <c r="J48" s="4">
        <v>1909</v>
      </c>
      <c r="K48" s="4">
        <v>1909</v>
      </c>
      <c r="L48" s="4">
        <v>0</v>
      </c>
      <c r="M48" s="4">
        <v>0</v>
      </c>
      <c r="N48" s="4">
        <v>0</v>
      </c>
      <c r="O48" s="4">
        <v>0</v>
      </c>
      <c r="P48" s="4">
        <v>14</v>
      </c>
      <c r="Q48" s="3" t="s">
        <v>26</v>
      </c>
      <c r="R48" s="3">
        <v>0</v>
      </c>
      <c r="S48" s="4">
        <v>46</v>
      </c>
      <c r="T48" s="4">
        <v>0</v>
      </c>
      <c r="U48" s="4">
        <v>0</v>
      </c>
      <c r="V48" s="4">
        <f>IF(ISERROR(VLOOKUP($S$48,'TAR FIN'!$A$1:$O$88,15,0)),0,VLOOKUP($S$48,'TAR FIN'!$A$1:$O$88,15,0))</f>
        <v>34.479999999999997</v>
      </c>
      <c r="W48" s="4">
        <f>IF(ISERROR(VLOOKUP($T$48,'TAR FIN'!$A$1:$O$88,15,0)),0,VLOOKUP($T$48,'TAR FIN'!$A$1:$O$88,15,0))</f>
        <v>0</v>
      </c>
      <c r="X48" s="4">
        <f>IF(ISERROR(VLOOKUP($U$48,'TAR FIN'!$A$1:$O$88,15,0)),0,VLOOKUP($U$48,'TAR FIN'!$A$1:$O$88,15,0))</f>
        <v>0</v>
      </c>
      <c r="Y48" s="4">
        <f ca="1">('TUSD BE'!$AM$10+'TUSD BF'!$AM$10+'TUSD CVA'!$AM$10)*1</f>
        <v>37.721850071081427</v>
      </c>
      <c r="Z48" s="4"/>
      <c r="AA48" s="4"/>
      <c r="AB48" s="4">
        <f>$K$48*$V$48</f>
        <v>65822.319999999992</v>
      </c>
      <c r="AC48" s="4">
        <f>$M$48*$W$48</f>
        <v>0</v>
      </c>
      <c r="AD48" s="4">
        <f>$O$48*$X$48</f>
        <v>0</v>
      </c>
      <c r="AE48" s="4">
        <f ca="1">$K$48*$Y$48</f>
        <v>72011.011785694442</v>
      </c>
      <c r="AF48" s="4">
        <f>$M$48*$Z$48</f>
        <v>0</v>
      </c>
      <c r="AG48" s="4">
        <f>$O$48*$AA$48</f>
        <v>0</v>
      </c>
    </row>
    <row r="49" spans="1:33" ht="11.25" customHeight="1" x14ac:dyDescent="0.25">
      <c r="A49" s="3" t="s">
        <v>55</v>
      </c>
      <c r="B49" s="3" t="s">
        <v>35</v>
      </c>
      <c r="C49" s="3" t="s">
        <v>39</v>
      </c>
      <c r="D49" s="3" t="s">
        <v>40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44774</v>
      </c>
      <c r="J49" s="4">
        <v>1909</v>
      </c>
      <c r="K49" s="4">
        <v>1909</v>
      </c>
      <c r="L49" s="4">
        <v>0</v>
      </c>
      <c r="M49" s="4">
        <v>0</v>
      </c>
      <c r="N49" s="4">
        <v>0</v>
      </c>
      <c r="O49" s="4">
        <v>0</v>
      </c>
      <c r="P49" s="4">
        <v>14</v>
      </c>
      <c r="Q49" s="3" t="s">
        <v>26</v>
      </c>
      <c r="R49" s="3">
        <v>0</v>
      </c>
      <c r="S49" s="4">
        <v>46</v>
      </c>
      <c r="T49" s="4">
        <v>0</v>
      </c>
      <c r="U49" s="4">
        <v>0</v>
      </c>
      <c r="V49" s="4">
        <f>IF(ISERROR(VLOOKUP($S$49,'TAR FIN'!$A$1:$O$88,15,0)),0,VLOOKUP($S$49,'TAR FIN'!$A$1:$O$88,15,0))</f>
        <v>34.479999999999997</v>
      </c>
      <c r="W49" s="4">
        <f>IF(ISERROR(VLOOKUP($T$49,'TAR FIN'!$A$1:$O$88,15,0)),0,VLOOKUP($T$49,'TAR FIN'!$A$1:$O$88,15,0))</f>
        <v>0</v>
      </c>
      <c r="X49" s="4">
        <f>IF(ISERROR(VLOOKUP($U$49,'TAR FIN'!$A$1:$O$88,15,0)),0,VLOOKUP($U$49,'TAR FIN'!$A$1:$O$88,15,0))</f>
        <v>0</v>
      </c>
      <c r="Y49" s="4">
        <f ca="1">('TUSD BE'!$AM$10+'TUSD BF'!$AM$10+'TUSD CVA'!$AM$10)*1</f>
        <v>37.721850071081427</v>
      </c>
      <c r="Z49" s="4"/>
      <c r="AA49" s="4"/>
      <c r="AB49" s="4">
        <f>$K$49*$V$49</f>
        <v>65822.319999999992</v>
      </c>
      <c r="AC49" s="4">
        <f>$M$49*$W$49</f>
        <v>0</v>
      </c>
      <c r="AD49" s="4">
        <f>$O$49*$X$49</f>
        <v>0</v>
      </c>
      <c r="AE49" s="4">
        <f ca="1">$K$49*$Y$49</f>
        <v>72011.011785694442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44440</v>
      </c>
      <c r="J50" s="4">
        <v>0</v>
      </c>
      <c r="K50" s="4">
        <v>0</v>
      </c>
      <c r="L50" s="4">
        <v>6.7729999999999997</v>
      </c>
      <c r="M50" s="4">
        <v>6.7729999999999997</v>
      </c>
      <c r="N50" s="4">
        <v>6.7729999999999997</v>
      </c>
      <c r="O50" s="4">
        <v>6.7729999999999997</v>
      </c>
      <c r="P50" s="4">
        <v>0</v>
      </c>
      <c r="Q50" s="3" t="s">
        <v>26</v>
      </c>
      <c r="R50" s="3">
        <v>0</v>
      </c>
      <c r="S50" s="4">
        <v>0</v>
      </c>
      <c r="T50" s="4">
        <v>35</v>
      </c>
      <c r="U50" s="4">
        <v>70</v>
      </c>
      <c r="V50" s="4">
        <f>IF(ISERROR(VLOOKUP($S$50,'TAR FIN'!$A$1:$O$88,15,0)),0,VLOOKUP($S$50,'TAR FIN'!$A$1:$O$88,15,0))</f>
        <v>0</v>
      </c>
      <c r="W50" s="4">
        <f>IF(ISERROR(VLOOKUP($T$50,'TAR FIN'!$A$1:$O$88,15,0)),0,VLOOKUP($T$50,'TAR FIN'!$A$1:$O$88,15,0))</f>
        <v>2676.16</v>
      </c>
      <c r="X50" s="4">
        <f>IF(ISERROR(VLOOKUP($U$50,'TAR FIN'!$A$1:$O$88,15,0)),0,VLOOKUP($U$50,'TAR FIN'!$A$1:$O$88,15,0))</f>
        <v>150.26</v>
      </c>
      <c r="Y50" s="4"/>
      <c r="Z50" s="4">
        <f ca="1">('TUSD BE'!$AM$11+'TUSD BF'!$AM$11+'TUSD CVA'!$AM$11)*1</f>
        <v>2626.6795212185111</v>
      </c>
      <c r="AA50" s="4">
        <f>('TE BE'!$AB$5+'TE BF'!$AB$5+'TE CVA'!$AB$5)*1</f>
        <v>136.62265710865657</v>
      </c>
      <c r="AB50" s="4">
        <f>$K$50*$V$50</f>
        <v>0</v>
      </c>
      <c r="AC50" s="4">
        <f>$M$50*$W$50</f>
        <v>18125.631679999999</v>
      </c>
      <c r="AD50" s="4">
        <f>$O$50*$X$50</f>
        <v>1017.7109799999998</v>
      </c>
      <c r="AE50" s="4">
        <f>$K$50*$Y$50</f>
        <v>0</v>
      </c>
      <c r="AF50" s="4">
        <f ca="1">$M$50*$Z$50</f>
        <v>17790.500397212974</v>
      </c>
      <c r="AG50" s="4">
        <f>$O$50*$AA$50</f>
        <v>925.34525659693088</v>
      </c>
    </row>
    <row r="51" spans="1:33" ht="11.25" customHeight="1" x14ac:dyDescent="0.25">
      <c r="A51" s="3" t="s">
        <v>21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44470</v>
      </c>
      <c r="J51" s="4">
        <v>0</v>
      </c>
      <c r="K51" s="4">
        <v>0</v>
      </c>
      <c r="L51" s="4">
        <v>6.4610000000000003</v>
      </c>
      <c r="M51" s="4">
        <v>6.4610000000000003</v>
      </c>
      <c r="N51" s="4">
        <v>6.4610000000000003</v>
      </c>
      <c r="O51" s="4">
        <v>6.4610000000000003</v>
      </c>
      <c r="P51" s="4">
        <v>0</v>
      </c>
      <c r="Q51" s="3" t="s">
        <v>26</v>
      </c>
      <c r="R51" s="3">
        <v>0</v>
      </c>
      <c r="S51" s="4">
        <v>0</v>
      </c>
      <c r="T51" s="4">
        <v>35</v>
      </c>
      <c r="U51" s="4">
        <v>70</v>
      </c>
      <c r="V51" s="4">
        <f>IF(ISERROR(VLOOKUP($S$51,'TAR FIN'!$A$1:$O$88,15,0)),0,VLOOKUP($S$51,'TAR FIN'!$A$1:$O$88,15,0))</f>
        <v>0</v>
      </c>
      <c r="W51" s="4">
        <f>IF(ISERROR(VLOOKUP($T$51,'TAR FIN'!$A$1:$O$88,15,0)),0,VLOOKUP($T$51,'TAR FIN'!$A$1:$O$88,15,0))</f>
        <v>2676.16</v>
      </c>
      <c r="X51" s="4">
        <f>IF(ISERROR(VLOOKUP($U$51,'TAR FIN'!$A$1:$O$88,15,0)),0,VLOOKUP($U$51,'TAR FIN'!$A$1:$O$88,15,0))</f>
        <v>150.26</v>
      </c>
      <c r="Y51" s="4"/>
      <c r="Z51" s="4">
        <f ca="1">('TUSD BE'!$AM$11+'TUSD BF'!$AM$11+'TUSD CVA'!$AM$11)*1</f>
        <v>2626.6795212185111</v>
      </c>
      <c r="AA51" s="4">
        <f>('TE BE'!$AB$5+'TE BF'!$AB$5+'TE CVA'!$AB$5)*1</f>
        <v>136.62265710865657</v>
      </c>
      <c r="AB51" s="4">
        <f>$K$51*$V$51</f>
        <v>0</v>
      </c>
      <c r="AC51" s="4">
        <f>$M$51*$W$51</f>
        <v>17290.669760000001</v>
      </c>
      <c r="AD51" s="4">
        <f>$O$51*$X$51</f>
        <v>970.82985999999994</v>
      </c>
      <c r="AE51" s="4">
        <f>$K$51*$Y$51</f>
        <v>0</v>
      </c>
      <c r="AF51" s="4">
        <f ca="1">$M$51*$Z$51</f>
        <v>16970.9763865928</v>
      </c>
      <c r="AG51" s="4">
        <f>$O$51*$AA$51</f>
        <v>882.71898757903011</v>
      </c>
    </row>
    <row r="52" spans="1:3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44501</v>
      </c>
      <c r="J52" s="4">
        <v>0</v>
      </c>
      <c r="K52" s="4">
        <v>0</v>
      </c>
      <c r="L52" s="4">
        <v>6.62</v>
      </c>
      <c r="M52" s="4">
        <v>6.62</v>
      </c>
      <c r="N52" s="4">
        <v>6.62</v>
      </c>
      <c r="O52" s="4">
        <v>6.62</v>
      </c>
      <c r="P52" s="4">
        <v>0</v>
      </c>
      <c r="Q52" s="3" t="s">
        <v>26</v>
      </c>
      <c r="R52" s="3">
        <v>0</v>
      </c>
      <c r="S52" s="4">
        <v>0</v>
      </c>
      <c r="T52" s="4">
        <v>35</v>
      </c>
      <c r="U52" s="4">
        <v>70</v>
      </c>
      <c r="V52" s="4">
        <f>IF(ISERROR(VLOOKUP($S$52,'TAR FIN'!$A$1:$O$88,15,0)),0,VLOOKUP($S$52,'TAR FIN'!$A$1:$O$88,15,0))</f>
        <v>0</v>
      </c>
      <c r="W52" s="4">
        <f>IF(ISERROR(VLOOKUP($T$52,'TAR FIN'!$A$1:$O$88,15,0)),0,VLOOKUP($T$52,'TAR FIN'!$A$1:$O$88,15,0))</f>
        <v>2676.16</v>
      </c>
      <c r="X52" s="4">
        <f>IF(ISERROR(VLOOKUP($U$52,'TAR FIN'!$A$1:$O$88,15,0)),0,VLOOKUP($U$52,'TAR FIN'!$A$1:$O$88,15,0))</f>
        <v>150.26</v>
      </c>
      <c r="Y52" s="4"/>
      <c r="Z52" s="4">
        <f ca="1">('TUSD BE'!$AM$11+'TUSD BF'!$AM$11+'TUSD CVA'!$AM$11)*1</f>
        <v>2626.6795212185111</v>
      </c>
      <c r="AA52" s="4">
        <f>('TE BE'!$AB$5+'TE BF'!$AB$5+'TE CVA'!$AB$5)*1</f>
        <v>136.62265710865657</v>
      </c>
      <c r="AB52" s="4">
        <f>$K$52*$V$52</f>
        <v>0</v>
      </c>
      <c r="AC52" s="4">
        <f>$M$52*$W$52</f>
        <v>17716.179199999999</v>
      </c>
      <c r="AD52" s="4">
        <f>$O$52*$X$52</f>
        <v>994.72119999999995</v>
      </c>
      <c r="AE52" s="4">
        <f>$K$52*$Y$52</f>
        <v>0</v>
      </c>
      <c r="AF52" s="4">
        <f ca="1">$M$52*$Z$52</f>
        <v>17388.618430466544</v>
      </c>
      <c r="AG52" s="4">
        <f>$O$52*$AA$52</f>
        <v>904.44199005930648</v>
      </c>
    </row>
    <row r="53" spans="1:3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44531</v>
      </c>
      <c r="J53" s="4">
        <v>0</v>
      </c>
      <c r="K53" s="4">
        <v>0</v>
      </c>
      <c r="L53" s="4">
        <v>7.5380000000000003</v>
      </c>
      <c r="M53" s="4">
        <v>7.5380000000000003</v>
      </c>
      <c r="N53" s="4">
        <v>7.5380000000000003</v>
      </c>
      <c r="O53" s="4">
        <v>7.5380000000000003</v>
      </c>
      <c r="P53" s="4">
        <v>0</v>
      </c>
      <c r="Q53" s="3" t="s">
        <v>26</v>
      </c>
      <c r="R53" s="3">
        <v>0</v>
      </c>
      <c r="S53" s="4">
        <v>0</v>
      </c>
      <c r="T53" s="4">
        <v>35</v>
      </c>
      <c r="U53" s="4">
        <v>70</v>
      </c>
      <c r="V53" s="4">
        <f>IF(ISERROR(VLOOKUP($S$53,'TAR FIN'!$A$1:$O$88,15,0)),0,VLOOKUP($S$53,'TAR FIN'!$A$1:$O$88,15,0))</f>
        <v>0</v>
      </c>
      <c r="W53" s="4">
        <f>IF(ISERROR(VLOOKUP($T$53,'TAR FIN'!$A$1:$O$88,15,0)),0,VLOOKUP($T$53,'TAR FIN'!$A$1:$O$88,15,0))</f>
        <v>2676.16</v>
      </c>
      <c r="X53" s="4">
        <f>IF(ISERROR(VLOOKUP($U$53,'TAR FIN'!$A$1:$O$88,15,0)),0,VLOOKUP($U$53,'TAR FIN'!$A$1:$O$88,15,0))</f>
        <v>150.26</v>
      </c>
      <c r="Y53" s="4"/>
      <c r="Z53" s="4">
        <f ca="1">('TUSD BE'!$AM$11+'TUSD BF'!$AM$11+'TUSD CVA'!$AM$11)*1</f>
        <v>2626.6795212185111</v>
      </c>
      <c r="AA53" s="4">
        <f>('TE BE'!$AB$5+'TE BF'!$AB$5+'TE CVA'!$AB$5)*1</f>
        <v>136.62265710865657</v>
      </c>
      <c r="AB53" s="4">
        <f>$K$53*$V$53</f>
        <v>0</v>
      </c>
      <c r="AC53" s="4">
        <f>$M$53*$W$53</f>
        <v>20172.894079999998</v>
      </c>
      <c r="AD53" s="4">
        <f>$O$53*$X$53</f>
        <v>1132.6598799999999</v>
      </c>
      <c r="AE53" s="4">
        <f>$K$53*$Y$53</f>
        <v>0</v>
      </c>
      <c r="AF53" s="4">
        <f ca="1">$M$53*$Z$53</f>
        <v>19799.910230945137</v>
      </c>
      <c r="AG53" s="4">
        <f>$O$53*$AA$53</f>
        <v>1029.8615892850532</v>
      </c>
    </row>
    <row r="54" spans="1:33" ht="11.25" customHeight="1" x14ac:dyDescent="0.25">
      <c r="A54" s="3" t="s">
        <v>21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44562</v>
      </c>
      <c r="J54" s="4">
        <v>0</v>
      </c>
      <c r="K54" s="4">
        <v>0</v>
      </c>
      <c r="L54" s="4">
        <v>9.1140000000000008</v>
      </c>
      <c r="M54" s="4">
        <v>9.1140000000000008</v>
      </c>
      <c r="N54" s="4">
        <v>9.1140000000000008</v>
      </c>
      <c r="O54" s="4">
        <v>9.1140000000000008</v>
      </c>
      <c r="P54" s="4">
        <v>0</v>
      </c>
      <c r="Q54" s="3" t="s">
        <v>26</v>
      </c>
      <c r="R54" s="3">
        <v>0</v>
      </c>
      <c r="S54" s="4">
        <v>0</v>
      </c>
      <c r="T54" s="4">
        <v>35</v>
      </c>
      <c r="U54" s="4">
        <v>70</v>
      </c>
      <c r="V54" s="4">
        <f>IF(ISERROR(VLOOKUP($S$54,'TAR FIN'!$A$1:$O$88,15,0)),0,VLOOKUP($S$54,'TAR FIN'!$A$1:$O$88,15,0))</f>
        <v>0</v>
      </c>
      <c r="W54" s="4">
        <f>IF(ISERROR(VLOOKUP($T$54,'TAR FIN'!$A$1:$O$88,15,0)),0,VLOOKUP($T$54,'TAR FIN'!$A$1:$O$88,15,0))</f>
        <v>2676.16</v>
      </c>
      <c r="X54" s="4">
        <f>IF(ISERROR(VLOOKUP($U$54,'TAR FIN'!$A$1:$O$88,15,0)),0,VLOOKUP($U$54,'TAR FIN'!$A$1:$O$88,15,0))</f>
        <v>150.26</v>
      </c>
      <c r="Y54" s="4"/>
      <c r="Z54" s="4">
        <f ca="1">('TUSD BE'!$AM$11+'TUSD BF'!$AM$11+'TUSD CVA'!$AM$11)*1</f>
        <v>2626.6795212185111</v>
      </c>
      <c r="AA54" s="4">
        <f>('TE BE'!$AB$5+'TE BF'!$AB$5+'TE CVA'!$AB$5)*1</f>
        <v>136.62265710865657</v>
      </c>
      <c r="AB54" s="4">
        <f>$K$54*$V$54</f>
        <v>0</v>
      </c>
      <c r="AC54" s="4">
        <f>$M$54*$W$54</f>
        <v>24390.522240000002</v>
      </c>
      <c r="AD54" s="4">
        <f>$O$54*$X$54</f>
        <v>1369.46964</v>
      </c>
      <c r="AE54" s="4">
        <f>$K$54*$Y$54</f>
        <v>0</v>
      </c>
      <c r="AF54" s="4">
        <f ca="1">$M$54*$Z$54</f>
        <v>23939.557156385512</v>
      </c>
      <c r="AG54" s="4">
        <f>$O$54*$AA$54</f>
        <v>1245.1788968882961</v>
      </c>
    </row>
    <row r="55" spans="1:3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44593</v>
      </c>
      <c r="J55" s="4">
        <v>0</v>
      </c>
      <c r="K55" s="4">
        <v>0</v>
      </c>
      <c r="L55" s="4">
        <v>8.3879999999999999</v>
      </c>
      <c r="M55" s="4">
        <v>8.3879999999999999</v>
      </c>
      <c r="N55" s="4">
        <v>8.3879999999999999</v>
      </c>
      <c r="O55" s="4">
        <v>8.3879999999999999</v>
      </c>
      <c r="P55" s="4">
        <v>0</v>
      </c>
      <c r="Q55" s="3" t="s">
        <v>26</v>
      </c>
      <c r="R55" s="3">
        <v>0</v>
      </c>
      <c r="S55" s="4">
        <v>0</v>
      </c>
      <c r="T55" s="4">
        <v>35</v>
      </c>
      <c r="U55" s="4">
        <v>70</v>
      </c>
      <c r="V55" s="4">
        <f>IF(ISERROR(VLOOKUP($S$55,'TAR FIN'!$A$1:$O$88,15,0)),0,VLOOKUP($S$55,'TAR FIN'!$A$1:$O$88,15,0))</f>
        <v>0</v>
      </c>
      <c r="W55" s="4">
        <f>IF(ISERROR(VLOOKUP($T$55,'TAR FIN'!$A$1:$O$88,15,0)),0,VLOOKUP($T$55,'TAR FIN'!$A$1:$O$88,15,0))</f>
        <v>2676.16</v>
      </c>
      <c r="X55" s="4">
        <f>IF(ISERROR(VLOOKUP($U$55,'TAR FIN'!$A$1:$O$88,15,0)),0,VLOOKUP($U$55,'TAR FIN'!$A$1:$O$88,15,0))</f>
        <v>150.26</v>
      </c>
      <c r="Y55" s="4"/>
      <c r="Z55" s="4">
        <f ca="1">('TUSD BE'!$AM$11+'TUSD BF'!$AM$11+'TUSD CVA'!$AM$11)*1</f>
        <v>2626.6795212185111</v>
      </c>
      <c r="AA55" s="4">
        <f>('TE BE'!$AB$5+'TE BF'!$AB$5+'TE CVA'!$AB$5)*1</f>
        <v>136.62265710865657</v>
      </c>
      <c r="AB55" s="4">
        <f>$K$55*$V$55</f>
        <v>0</v>
      </c>
      <c r="AC55" s="4">
        <f>$M$55*$W$55</f>
        <v>22447.630079999999</v>
      </c>
      <c r="AD55" s="4">
        <f>$O$55*$X$55</f>
        <v>1260.3808799999999</v>
      </c>
      <c r="AE55" s="4">
        <f>$K$55*$Y$55</f>
        <v>0</v>
      </c>
      <c r="AF55" s="4">
        <f ca="1">$M$55*$Z$55</f>
        <v>22032.58782398087</v>
      </c>
      <c r="AG55" s="4">
        <f>$O$55*$AA$55</f>
        <v>1145.9908478274112</v>
      </c>
    </row>
    <row r="56" spans="1:33" ht="11.25" customHeight="1" x14ac:dyDescent="0.25">
      <c r="A56" s="3" t="s">
        <v>21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44621</v>
      </c>
      <c r="J56" s="4">
        <v>0</v>
      </c>
      <c r="K56" s="4">
        <v>0</v>
      </c>
      <c r="L56" s="4">
        <v>7.5679999999999996</v>
      </c>
      <c r="M56" s="4">
        <v>7.5679999999999996</v>
      </c>
      <c r="N56" s="4">
        <v>7.5679999999999996</v>
      </c>
      <c r="O56" s="4">
        <v>7.5679999999999996</v>
      </c>
      <c r="P56" s="4">
        <v>0</v>
      </c>
      <c r="Q56" s="3" t="s">
        <v>26</v>
      </c>
      <c r="R56" s="3">
        <v>0</v>
      </c>
      <c r="S56" s="4">
        <v>0</v>
      </c>
      <c r="T56" s="4">
        <v>35</v>
      </c>
      <c r="U56" s="4">
        <v>70</v>
      </c>
      <c r="V56" s="4">
        <f>IF(ISERROR(VLOOKUP($S$56,'TAR FIN'!$A$1:$O$88,15,0)),0,VLOOKUP($S$56,'TAR FIN'!$A$1:$O$88,15,0))</f>
        <v>0</v>
      </c>
      <c r="W56" s="4">
        <f>IF(ISERROR(VLOOKUP($T$56,'TAR FIN'!$A$1:$O$88,15,0)),0,VLOOKUP($T$56,'TAR FIN'!$A$1:$O$88,15,0))</f>
        <v>2676.16</v>
      </c>
      <c r="X56" s="4">
        <f>IF(ISERROR(VLOOKUP($U$56,'TAR FIN'!$A$1:$O$88,15,0)),0,VLOOKUP($U$56,'TAR FIN'!$A$1:$O$88,15,0))</f>
        <v>150.26</v>
      </c>
      <c r="Y56" s="4"/>
      <c r="Z56" s="4">
        <f ca="1">('TUSD BE'!$AM$11+'TUSD BF'!$AM$11+'TUSD CVA'!$AM$11)*1</f>
        <v>2626.6795212185111</v>
      </c>
      <c r="AA56" s="4">
        <f>('TE BE'!$AB$5+'TE BF'!$AB$5+'TE CVA'!$AB$5)*1</f>
        <v>136.62265710865657</v>
      </c>
      <c r="AB56" s="4">
        <f>$K$56*$V$56</f>
        <v>0</v>
      </c>
      <c r="AC56" s="4">
        <f>$M$56*$W$56</f>
        <v>20253.178879999999</v>
      </c>
      <c r="AD56" s="4">
        <f>$O$56*$X$56</f>
        <v>1137.1676799999998</v>
      </c>
      <c r="AE56" s="4">
        <f>$K$56*$Y$56</f>
        <v>0</v>
      </c>
      <c r="AF56" s="4">
        <f ca="1">$M$56*$Z$56</f>
        <v>19878.710616581691</v>
      </c>
      <c r="AG56" s="4">
        <f>$O$56*$AA$56</f>
        <v>1033.9602689983128</v>
      </c>
    </row>
    <row r="57" spans="1:3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44652</v>
      </c>
      <c r="J57" s="4">
        <v>0</v>
      </c>
      <c r="K57" s="4">
        <v>0</v>
      </c>
      <c r="L57" s="4">
        <v>8.1709999999999994</v>
      </c>
      <c r="M57" s="4">
        <v>8.1709999999999994</v>
      </c>
      <c r="N57" s="4">
        <v>8.1709999999999994</v>
      </c>
      <c r="O57" s="4">
        <v>8.1709999999999994</v>
      </c>
      <c r="P57" s="4">
        <v>0</v>
      </c>
      <c r="Q57" s="3" t="s">
        <v>26</v>
      </c>
      <c r="R57" s="3">
        <v>0</v>
      </c>
      <c r="S57" s="4">
        <v>0</v>
      </c>
      <c r="T57" s="4">
        <v>35</v>
      </c>
      <c r="U57" s="4">
        <v>70</v>
      </c>
      <c r="V57" s="4">
        <f>IF(ISERROR(VLOOKUP($S$57,'TAR FIN'!$A$1:$O$88,15,0)),0,VLOOKUP($S$57,'TAR FIN'!$A$1:$O$88,15,0))</f>
        <v>0</v>
      </c>
      <c r="W57" s="4">
        <f>IF(ISERROR(VLOOKUP($T$57,'TAR FIN'!$A$1:$O$88,15,0)),0,VLOOKUP($T$57,'TAR FIN'!$A$1:$O$88,15,0))</f>
        <v>2676.16</v>
      </c>
      <c r="X57" s="4">
        <f>IF(ISERROR(VLOOKUP($U$57,'TAR FIN'!$A$1:$O$88,15,0)),0,VLOOKUP($U$57,'TAR FIN'!$A$1:$O$88,15,0))</f>
        <v>150.26</v>
      </c>
      <c r="Y57" s="4"/>
      <c r="Z57" s="4">
        <f ca="1">('TUSD BE'!$AM$11+'TUSD BF'!$AM$11+'TUSD CVA'!$AM$11)*1</f>
        <v>2626.6795212185111</v>
      </c>
      <c r="AA57" s="4">
        <f>('TE BE'!$AB$5+'TE BF'!$AB$5+'TE CVA'!$AB$5)*1</f>
        <v>136.62265710865657</v>
      </c>
      <c r="AB57" s="4">
        <f>$K$57*$V$57</f>
        <v>0</v>
      </c>
      <c r="AC57" s="4">
        <f>$M$57*$W$57</f>
        <v>21866.903359999997</v>
      </c>
      <c r="AD57" s="4">
        <f>$O$57*$X$57</f>
        <v>1227.7744599999999</v>
      </c>
      <c r="AE57" s="4">
        <f>$K$57*$Y$57</f>
        <v>0</v>
      </c>
      <c r="AF57" s="4">
        <f ca="1">$M$57*$Z$57</f>
        <v>21462.598367876453</v>
      </c>
      <c r="AG57" s="4">
        <f>$O$57*$AA$57</f>
        <v>1116.3437312348328</v>
      </c>
    </row>
    <row r="58" spans="1:33" ht="11.25" customHeight="1" x14ac:dyDescent="0.25">
      <c r="A58" s="3" t="s">
        <v>21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44682</v>
      </c>
      <c r="J58" s="4">
        <v>0</v>
      </c>
      <c r="K58" s="4">
        <v>0</v>
      </c>
      <c r="L58" s="4">
        <v>6.6189999999999998</v>
      </c>
      <c r="M58" s="4">
        <v>6.6189999999999998</v>
      </c>
      <c r="N58" s="4">
        <v>6.6189999999999998</v>
      </c>
      <c r="O58" s="4">
        <v>6.6189999999999998</v>
      </c>
      <c r="P58" s="4">
        <v>0</v>
      </c>
      <c r="Q58" s="3" t="s">
        <v>26</v>
      </c>
      <c r="R58" s="3">
        <v>0</v>
      </c>
      <c r="S58" s="4">
        <v>0</v>
      </c>
      <c r="T58" s="4">
        <v>35</v>
      </c>
      <c r="U58" s="4">
        <v>70</v>
      </c>
      <c r="V58" s="4">
        <f>IF(ISERROR(VLOOKUP($S$58,'TAR FIN'!$A$1:$O$88,15,0)),0,VLOOKUP($S$58,'TAR FIN'!$A$1:$O$88,15,0))</f>
        <v>0</v>
      </c>
      <c r="W58" s="4">
        <f>IF(ISERROR(VLOOKUP($T$58,'TAR FIN'!$A$1:$O$88,15,0)),0,VLOOKUP($T$58,'TAR FIN'!$A$1:$O$88,15,0))</f>
        <v>2676.16</v>
      </c>
      <c r="X58" s="4">
        <f>IF(ISERROR(VLOOKUP($U$58,'TAR FIN'!$A$1:$O$88,15,0)),0,VLOOKUP($U$58,'TAR FIN'!$A$1:$O$88,15,0))</f>
        <v>150.26</v>
      </c>
      <c r="Y58" s="4"/>
      <c r="Z58" s="4">
        <f ca="1">('TUSD BE'!$AM$11+'TUSD BF'!$AM$11+'TUSD CVA'!$AM$11)*1</f>
        <v>2626.6795212185111</v>
      </c>
      <c r="AA58" s="4">
        <f>('TE BE'!$AB$5+'TE BF'!$AB$5+'TE CVA'!$AB$5)*1</f>
        <v>136.62265710865657</v>
      </c>
      <c r="AB58" s="4">
        <f>$K$58*$V$58</f>
        <v>0</v>
      </c>
      <c r="AC58" s="4">
        <f>$M$58*$W$58</f>
        <v>17713.50304</v>
      </c>
      <c r="AD58" s="4">
        <f>$O$58*$X$58</f>
        <v>994.57093999999995</v>
      </c>
      <c r="AE58" s="4">
        <f>$K$58*$Y$58</f>
        <v>0</v>
      </c>
      <c r="AF58" s="4">
        <f ca="1">$M$58*$Z$58</f>
        <v>17385.991750945326</v>
      </c>
      <c r="AG58" s="4">
        <f>$O$58*$AA$58</f>
        <v>904.30536740219782</v>
      </c>
    </row>
    <row r="59" spans="1:3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44713</v>
      </c>
      <c r="J59" s="4">
        <v>0</v>
      </c>
      <c r="K59" s="4">
        <v>0</v>
      </c>
      <c r="L59" s="4">
        <v>6.8630000000000004</v>
      </c>
      <c r="M59" s="4">
        <v>6.8630000000000004</v>
      </c>
      <c r="N59" s="4">
        <v>6.8630000000000004</v>
      </c>
      <c r="O59" s="4">
        <v>6.8630000000000004</v>
      </c>
      <c r="P59" s="4">
        <v>0</v>
      </c>
      <c r="Q59" s="3" t="s">
        <v>26</v>
      </c>
      <c r="R59" s="3">
        <v>0</v>
      </c>
      <c r="S59" s="4">
        <v>0</v>
      </c>
      <c r="T59" s="4">
        <v>35</v>
      </c>
      <c r="U59" s="4">
        <v>70</v>
      </c>
      <c r="V59" s="4">
        <f>IF(ISERROR(VLOOKUP($S$59,'TAR FIN'!$A$1:$O$88,15,0)),0,VLOOKUP($S$59,'TAR FIN'!$A$1:$O$88,15,0))</f>
        <v>0</v>
      </c>
      <c r="W59" s="4">
        <f>IF(ISERROR(VLOOKUP($T$59,'TAR FIN'!$A$1:$O$88,15,0)),0,VLOOKUP($T$59,'TAR FIN'!$A$1:$O$88,15,0))</f>
        <v>2676.16</v>
      </c>
      <c r="X59" s="4">
        <f>IF(ISERROR(VLOOKUP($U$59,'TAR FIN'!$A$1:$O$88,15,0)),0,VLOOKUP($U$59,'TAR FIN'!$A$1:$O$88,15,0))</f>
        <v>150.26</v>
      </c>
      <c r="Y59" s="4"/>
      <c r="Z59" s="4">
        <f ca="1">('TUSD BE'!$AM$11+'TUSD BF'!$AM$11+'TUSD CVA'!$AM$11)*1</f>
        <v>2626.6795212185111</v>
      </c>
      <c r="AA59" s="4">
        <f>('TE BE'!$AB$5+'TE BF'!$AB$5+'TE CVA'!$AB$5)*1</f>
        <v>136.62265710865657</v>
      </c>
      <c r="AB59" s="4">
        <f>$K$59*$V$59</f>
        <v>0</v>
      </c>
      <c r="AC59" s="4">
        <f>$M$59*$W$59</f>
        <v>18366.486079999999</v>
      </c>
      <c r="AD59" s="4">
        <f>$O$59*$X$59</f>
        <v>1031.2343800000001</v>
      </c>
      <c r="AE59" s="4">
        <f>$K$59*$Y$59</f>
        <v>0</v>
      </c>
      <c r="AF59" s="4">
        <f ca="1">$M$59*$Z$59</f>
        <v>18026.901554122644</v>
      </c>
      <c r="AG59" s="4">
        <f>$O$59*$AA$59</f>
        <v>937.64129573671005</v>
      </c>
    </row>
    <row r="60" spans="1:3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44743</v>
      </c>
      <c r="J60" s="4">
        <v>0</v>
      </c>
      <c r="K60" s="4">
        <v>0</v>
      </c>
      <c r="L60" s="4">
        <v>6.944</v>
      </c>
      <c r="M60" s="4">
        <v>6.944</v>
      </c>
      <c r="N60" s="4">
        <v>6.944</v>
      </c>
      <c r="O60" s="4">
        <v>6.944</v>
      </c>
      <c r="P60" s="4">
        <v>0</v>
      </c>
      <c r="Q60" s="3" t="s">
        <v>26</v>
      </c>
      <c r="R60" s="3">
        <v>0</v>
      </c>
      <c r="S60" s="4">
        <v>0</v>
      </c>
      <c r="T60" s="4">
        <v>35</v>
      </c>
      <c r="U60" s="4">
        <v>70</v>
      </c>
      <c r="V60" s="4">
        <f>IF(ISERROR(VLOOKUP($S$60,'TAR FIN'!$A$1:$O$88,15,0)),0,VLOOKUP($S$60,'TAR FIN'!$A$1:$O$88,15,0))</f>
        <v>0</v>
      </c>
      <c r="W60" s="4">
        <f>IF(ISERROR(VLOOKUP($T$60,'TAR FIN'!$A$1:$O$88,15,0)),0,VLOOKUP($T$60,'TAR FIN'!$A$1:$O$88,15,0))</f>
        <v>2676.16</v>
      </c>
      <c r="X60" s="4">
        <f>IF(ISERROR(VLOOKUP($U$60,'TAR FIN'!$A$1:$O$88,15,0)),0,VLOOKUP($U$60,'TAR FIN'!$A$1:$O$88,15,0))</f>
        <v>150.26</v>
      </c>
      <c r="Y60" s="4"/>
      <c r="Z60" s="4">
        <f ca="1">('TUSD BE'!$AM$11+'TUSD BF'!$AM$11+'TUSD CVA'!$AM$11)*1</f>
        <v>2626.6795212185111</v>
      </c>
      <c r="AA60" s="4">
        <f>('TE BE'!$AB$5+'TE BF'!$AB$5+'TE CVA'!$AB$5)*1</f>
        <v>136.62265710865657</v>
      </c>
      <c r="AB60" s="4">
        <f>$K$60*$V$60</f>
        <v>0</v>
      </c>
      <c r="AC60" s="4">
        <f>$M$60*$W$60</f>
        <v>18583.25504</v>
      </c>
      <c r="AD60" s="4">
        <f>$O$60*$X$60</f>
        <v>1043.40544</v>
      </c>
      <c r="AE60" s="4">
        <f>$K$60*$Y$60</f>
        <v>0</v>
      </c>
      <c r="AF60" s="4">
        <f ca="1">$M$60*$Z$60</f>
        <v>18239.662595341342</v>
      </c>
      <c r="AG60" s="4">
        <f>$O$60*$AA$60</f>
        <v>948.70773096251116</v>
      </c>
    </row>
    <row r="61" spans="1:33" ht="11.25" customHeight="1" x14ac:dyDescent="0.25">
      <c r="A61" s="3" t="s">
        <v>55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44774</v>
      </c>
      <c r="J61" s="4">
        <v>0</v>
      </c>
      <c r="K61" s="4">
        <v>0</v>
      </c>
      <c r="L61" s="4">
        <v>6.944</v>
      </c>
      <c r="M61" s="4">
        <v>6.944</v>
      </c>
      <c r="N61" s="4">
        <v>6.944</v>
      </c>
      <c r="O61" s="4">
        <v>6.944</v>
      </c>
      <c r="P61" s="4">
        <v>0</v>
      </c>
      <c r="Q61" s="3" t="s">
        <v>26</v>
      </c>
      <c r="R61" s="3">
        <v>0</v>
      </c>
      <c r="S61" s="4">
        <v>0</v>
      </c>
      <c r="T61" s="4">
        <v>35</v>
      </c>
      <c r="U61" s="4">
        <v>70</v>
      </c>
      <c r="V61" s="4">
        <f>IF(ISERROR(VLOOKUP($S$61,'TAR FIN'!$A$1:$O$88,15,0)),0,VLOOKUP($S$61,'TAR FIN'!$A$1:$O$88,15,0))</f>
        <v>0</v>
      </c>
      <c r="W61" s="4">
        <f>IF(ISERROR(VLOOKUP($T$61,'TAR FIN'!$A$1:$O$88,15,0)),0,VLOOKUP($T$61,'TAR FIN'!$A$1:$O$88,15,0))</f>
        <v>2676.16</v>
      </c>
      <c r="X61" s="4">
        <f>IF(ISERROR(VLOOKUP($U$61,'TAR FIN'!$A$1:$O$88,15,0)),0,VLOOKUP($U$61,'TAR FIN'!$A$1:$O$88,15,0))</f>
        <v>150.26</v>
      </c>
      <c r="Y61" s="4"/>
      <c r="Z61" s="4">
        <f ca="1">('TUSD BE'!$AM$11+'TUSD BF'!$AM$11+'TUSD CVA'!$AM$11)*1</f>
        <v>2626.6795212185111</v>
      </c>
      <c r="AA61" s="4">
        <f>('TE BE'!$AB$5+'TE BF'!$AB$5+'TE CVA'!$AB$5)*1</f>
        <v>136.62265710865657</v>
      </c>
      <c r="AB61" s="4">
        <f>$K$61*$V$61</f>
        <v>0</v>
      </c>
      <c r="AC61" s="4">
        <f>$M$61*$W$61</f>
        <v>18583.25504</v>
      </c>
      <c r="AD61" s="4">
        <f>$O$61*$X$61</f>
        <v>1043.40544</v>
      </c>
      <c r="AE61" s="4">
        <f>$K$61*$Y$61</f>
        <v>0</v>
      </c>
      <c r="AF61" s="4">
        <f ca="1">$M$61*$Z$61</f>
        <v>18239.662595341342</v>
      </c>
      <c r="AG61" s="4">
        <f>$O$61*$AA$61</f>
        <v>948.70773096251116</v>
      </c>
    </row>
    <row r="62" spans="1:33" ht="11.25" customHeight="1" x14ac:dyDescent="0.25">
      <c r="A62" s="3" t="s">
        <v>21</v>
      </c>
      <c r="B62" s="3" t="s">
        <v>35</v>
      </c>
      <c r="C62" s="3" t="s">
        <v>39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44440</v>
      </c>
      <c r="J62" s="4">
        <v>0</v>
      </c>
      <c r="K62" s="4">
        <v>0</v>
      </c>
      <c r="L62" s="4">
        <v>5616.2790000000005</v>
      </c>
      <c r="M62" s="4">
        <v>5616.2790000000005</v>
      </c>
      <c r="N62" s="4">
        <v>5616.2790000000005</v>
      </c>
      <c r="O62" s="4">
        <v>5616.2790000000005</v>
      </c>
      <c r="P62" s="4">
        <v>0</v>
      </c>
      <c r="Q62" s="3" t="s">
        <v>26</v>
      </c>
      <c r="R62" s="3">
        <v>0</v>
      </c>
      <c r="S62" s="4">
        <v>0</v>
      </c>
      <c r="T62" s="4">
        <v>50</v>
      </c>
      <c r="U62" s="4">
        <v>61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60.38</v>
      </c>
      <c r="X62" s="4">
        <f>IF(ISERROR(VLOOKUP($U$62,'TAR FIN'!$A$1:$O$88,15,0)),0,VLOOKUP($U$62,'TAR FIN'!$A$1:$O$88,15,0))</f>
        <v>150.26</v>
      </c>
      <c r="Y62" s="4"/>
      <c r="Z62" s="4">
        <f ca="1">('TUSD BE'!$AM$12+'TUSD BF'!$AM$12+'TUSD CVA'!$AM$12)*1</f>
        <v>94.517694765168258</v>
      </c>
      <c r="AA62" s="4">
        <f>('TE BE'!$AB$6+'TE BF'!$AB$6+'TE CVA'!$AB$6)*1</f>
        <v>136.62265710865657</v>
      </c>
      <c r="AB62" s="4">
        <f>$K$62*$V$62</f>
        <v>0</v>
      </c>
      <c r="AC62" s="4">
        <f>$M$62*$W$62</f>
        <v>339110.92602000001</v>
      </c>
      <c r="AD62" s="4">
        <f>$O$62*$X$62</f>
        <v>843902.08253999997</v>
      </c>
      <c r="AE62" s="4">
        <f>$K$62*$Y$62</f>
        <v>0</v>
      </c>
      <c r="AF62" s="4">
        <f ca="1">$M$62*$Z$62</f>
        <v>530837.74423802446</v>
      </c>
      <c r="AG62" s="4">
        <f>$O$62*$AA$62</f>
        <v>767310.96004354872</v>
      </c>
    </row>
    <row r="63" spans="1:33" ht="11.25" customHeight="1" x14ac:dyDescent="0.25">
      <c r="A63" s="3" t="s">
        <v>28</v>
      </c>
      <c r="B63" s="3" t="s">
        <v>35</v>
      </c>
      <c r="C63" s="3" t="s">
        <v>39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44440</v>
      </c>
      <c r="J63" s="4">
        <v>0</v>
      </c>
      <c r="K63" s="4">
        <v>0</v>
      </c>
      <c r="L63" s="4">
        <v>7.6340000000000003</v>
      </c>
      <c r="M63" s="4">
        <v>7.6340000000000003</v>
      </c>
      <c r="N63" s="4">
        <v>7.6340000000000003</v>
      </c>
      <c r="O63" s="4">
        <v>7.6340000000000003</v>
      </c>
      <c r="P63" s="4">
        <v>0</v>
      </c>
      <c r="Q63" s="3" t="s">
        <v>26</v>
      </c>
      <c r="R63" s="3">
        <v>0</v>
      </c>
      <c r="S63" s="4">
        <v>0</v>
      </c>
      <c r="T63" s="4">
        <v>50</v>
      </c>
      <c r="U63" s="4">
        <v>61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60.38</v>
      </c>
      <c r="X63" s="4">
        <f>IF(ISERROR(VLOOKUP($U$63,'TAR FIN'!$A$1:$O$88,15,0)),0,VLOOKUP($U$63,'TAR FIN'!$A$1:$O$88,15,0))</f>
        <v>150.26</v>
      </c>
      <c r="Y63" s="4"/>
      <c r="Z63" s="4">
        <f ca="1">('TUSD BE'!$AM$12+'TUSD BF'!$AM$12+'TUSD CVA'!$AM$12)*1</f>
        <v>94.517694765168258</v>
      </c>
      <c r="AA63" s="4">
        <f>('TE BE'!$AB$6+'TE BF'!$AB$6+'TE CVA'!$AB$6)*1</f>
        <v>136.62265710865657</v>
      </c>
      <c r="AB63" s="4">
        <f>$K$63*$V$63</f>
        <v>0</v>
      </c>
      <c r="AC63" s="4">
        <f>$M$63*$W$63</f>
        <v>460.94092000000006</v>
      </c>
      <c r="AD63" s="4">
        <f>$O$63*$X$63</f>
        <v>1147.08484</v>
      </c>
      <c r="AE63" s="4">
        <f>$K$63*$Y$63</f>
        <v>0</v>
      </c>
      <c r="AF63" s="4">
        <f ca="1">$M$63*$Z$63</f>
        <v>721.54808183729449</v>
      </c>
      <c r="AG63" s="4">
        <f>$O$63*$AA$63</f>
        <v>1042.9773643674844</v>
      </c>
    </row>
    <row r="64" spans="1:33" ht="11.25" customHeight="1" x14ac:dyDescent="0.25">
      <c r="A64" s="3" t="s">
        <v>21</v>
      </c>
      <c r="B64" s="3" t="s">
        <v>35</v>
      </c>
      <c r="C64" s="3" t="s">
        <v>39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44470</v>
      </c>
      <c r="J64" s="4">
        <v>0</v>
      </c>
      <c r="K64" s="4">
        <v>0</v>
      </c>
      <c r="L64" s="4">
        <v>5619.0429999999997</v>
      </c>
      <c r="M64" s="4">
        <v>5619.0429999999997</v>
      </c>
      <c r="N64" s="4">
        <v>5619.0429999999997</v>
      </c>
      <c r="O64" s="4">
        <v>5619.0429999999997</v>
      </c>
      <c r="P64" s="4">
        <v>0</v>
      </c>
      <c r="Q64" s="3" t="s">
        <v>26</v>
      </c>
      <c r="R64" s="3">
        <v>0</v>
      </c>
      <c r="S64" s="4">
        <v>0</v>
      </c>
      <c r="T64" s="4">
        <v>50</v>
      </c>
      <c r="U64" s="4">
        <v>61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60.38</v>
      </c>
      <c r="X64" s="4">
        <f>IF(ISERROR(VLOOKUP($U$64,'TAR FIN'!$A$1:$O$88,15,0)),0,VLOOKUP($U$64,'TAR FIN'!$A$1:$O$88,15,0))</f>
        <v>150.26</v>
      </c>
      <c r="Y64" s="4"/>
      <c r="Z64" s="4">
        <f ca="1">('TUSD BE'!$AM$12+'TUSD BF'!$AM$12+'TUSD CVA'!$AM$12)*1</f>
        <v>94.517694765168258</v>
      </c>
      <c r="AA64" s="4">
        <f>('TE BE'!$AB$6+'TE BF'!$AB$6+'TE CVA'!$AB$6)*1</f>
        <v>136.62265710865657</v>
      </c>
      <c r="AB64" s="4">
        <f>$K$64*$V$64</f>
        <v>0</v>
      </c>
      <c r="AC64" s="4">
        <f>$M$64*$W$64</f>
        <v>339277.81634000002</v>
      </c>
      <c r="AD64" s="4">
        <f>$O$64*$X$64</f>
        <v>844317.40117999993</v>
      </c>
      <c r="AE64" s="4">
        <f>$K$64*$Y$64</f>
        <v>0</v>
      </c>
      <c r="AF64" s="4">
        <f ca="1">$M$64*$Z$64</f>
        <v>531098.99114635529</v>
      </c>
      <c r="AG64" s="4">
        <f>$O$64*$AA$64</f>
        <v>767688.58506779687</v>
      </c>
    </row>
    <row r="65" spans="1:33" ht="11.25" customHeight="1" x14ac:dyDescent="0.25">
      <c r="A65" s="3" t="s">
        <v>28</v>
      </c>
      <c r="B65" s="3" t="s">
        <v>35</v>
      </c>
      <c r="C65" s="3" t="s">
        <v>39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44470</v>
      </c>
      <c r="J65" s="4">
        <v>0</v>
      </c>
      <c r="K65" s="4">
        <v>0</v>
      </c>
      <c r="L65" s="4">
        <v>7.26</v>
      </c>
      <c r="M65" s="4">
        <v>7.26</v>
      </c>
      <c r="N65" s="4">
        <v>7.26</v>
      </c>
      <c r="O65" s="4">
        <v>7.26</v>
      </c>
      <c r="P65" s="4">
        <v>0</v>
      </c>
      <c r="Q65" s="3" t="s">
        <v>26</v>
      </c>
      <c r="R65" s="3">
        <v>0</v>
      </c>
      <c r="S65" s="4">
        <v>0</v>
      </c>
      <c r="T65" s="4">
        <v>50</v>
      </c>
      <c r="U65" s="4">
        <v>61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60.38</v>
      </c>
      <c r="X65" s="4">
        <f>IF(ISERROR(VLOOKUP($U$65,'TAR FIN'!$A$1:$O$88,15,0)),0,VLOOKUP($U$65,'TAR FIN'!$A$1:$O$88,15,0))</f>
        <v>150.26</v>
      </c>
      <c r="Y65" s="4"/>
      <c r="Z65" s="4">
        <f ca="1">('TUSD BE'!$AM$12+'TUSD BF'!$AM$12+'TUSD CVA'!$AM$12)*1</f>
        <v>94.517694765168258</v>
      </c>
      <c r="AA65" s="4">
        <f>('TE BE'!$AB$6+'TE BF'!$AB$6+'TE CVA'!$AB$6)*1</f>
        <v>136.62265710865657</v>
      </c>
      <c r="AB65" s="4">
        <f>$K$65*$V$65</f>
        <v>0</v>
      </c>
      <c r="AC65" s="4">
        <f>$M$65*$W$65</f>
        <v>438.35880000000003</v>
      </c>
      <c r="AD65" s="4">
        <f>$O$65*$X$65</f>
        <v>1090.8875999999998</v>
      </c>
      <c r="AE65" s="4">
        <f>$K$65*$Y$65</f>
        <v>0</v>
      </c>
      <c r="AF65" s="4">
        <f ca="1">$M$65*$Z$65</f>
        <v>686.19846399512153</v>
      </c>
      <c r="AG65" s="4">
        <f>$O$65*$AA$65</f>
        <v>991.88049060884669</v>
      </c>
    </row>
    <row r="66" spans="1:33" ht="11.25" customHeight="1" x14ac:dyDescent="0.25">
      <c r="A66" s="3" t="s">
        <v>21</v>
      </c>
      <c r="B66" s="3" t="s">
        <v>35</v>
      </c>
      <c r="C66" s="3" t="s">
        <v>39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44501</v>
      </c>
      <c r="J66" s="4">
        <v>0</v>
      </c>
      <c r="K66" s="4">
        <v>0</v>
      </c>
      <c r="L66" s="4">
        <v>5626.1220000000003</v>
      </c>
      <c r="M66" s="4">
        <v>5626.1220000000003</v>
      </c>
      <c r="N66" s="4">
        <v>5626.1220000000003</v>
      </c>
      <c r="O66" s="4">
        <v>5626.1220000000003</v>
      </c>
      <c r="P66" s="4">
        <v>0</v>
      </c>
      <c r="Q66" s="3" t="s">
        <v>26</v>
      </c>
      <c r="R66" s="3">
        <v>0</v>
      </c>
      <c r="S66" s="4">
        <v>0</v>
      </c>
      <c r="T66" s="4">
        <v>50</v>
      </c>
      <c r="U66" s="4">
        <v>61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60.38</v>
      </c>
      <c r="X66" s="4">
        <f>IF(ISERROR(VLOOKUP($U$66,'TAR FIN'!$A$1:$O$88,15,0)),0,VLOOKUP($U$66,'TAR FIN'!$A$1:$O$88,15,0))</f>
        <v>150.26</v>
      </c>
      <c r="Y66" s="4"/>
      <c r="Z66" s="4">
        <f ca="1">('TUSD BE'!$AM$12+'TUSD BF'!$AM$12+'TUSD CVA'!$AM$12)*1</f>
        <v>94.517694765168258</v>
      </c>
      <c r="AA66" s="4">
        <f>('TE BE'!$AB$6+'TE BF'!$AB$6+'TE CVA'!$AB$6)*1</f>
        <v>136.62265710865657</v>
      </c>
      <c r="AB66" s="4">
        <f>$K$66*$V$66</f>
        <v>0</v>
      </c>
      <c r="AC66" s="4">
        <f>$M$66*$W$66</f>
        <v>339705.24636000005</v>
      </c>
      <c r="AD66" s="4">
        <f>$O$66*$X$66</f>
        <v>845381.09172000003</v>
      </c>
      <c r="AE66" s="4">
        <f>$K$66*$Y$66</f>
        <v>0</v>
      </c>
      <c r="AF66" s="4">
        <f ca="1">$M$66*$Z$66</f>
        <v>531768.08190759795</v>
      </c>
      <c r="AG66" s="4">
        <f>$O$66*$AA$66</f>
        <v>768655.73685746919</v>
      </c>
    </row>
    <row r="67" spans="1:33" ht="11.25" customHeight="1" x14ac:dyDescent="0.25">
      <c r="A67" s="3" t="s">
        <v>28</v>
      </c>
      <c r="B67" s="3" t="s">
        <v>35</v>
      </c>
      <c r="C67" s="3" t="s">
        <v>39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44501</v>
      </c>
      <c r="J67" s="4">
        <v>0</v>
      </c>
      <c r="K67" s="4">
        <v>0</v>
      </c>
      <c r="L67" s="4">
        <v>4.7830000000000004</v>
      </c>
      <c r="M67" s="4">
        <v>4.7830000000000004</v>
      </c>
      <c r="N67" s="4">
        <v>4.7830000000000004</v>
      </c>
      <c r="O67" s="4">
        <v>4.7830000000000004</v>
      </c>
      <c r="P67" s="4">
        <v>0</v>
      </c>
      <c r="Q67" s="3" t="s">
        <v>26</v>
      </c>
      <c r="R67" s="3">
        <v>0</v>
      </c>
      <c r="S67" s="4">
        <v>0</v>
      </c>
      <c r="T67" s="4">
        <v>50</v>
      </c>
      <c r="U67" s="4">
        <v>61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60.38</v>
      </c>
      <c r="X67" s="4">
        <f>IF(ISERROR(VLOOKUP($U$67,'TAR FIN'!$A$1:$O$88,15,0)),0,VLOOKUP($U$67,'TAR FIN'!$A$1:$O$88,15,0))</f>
        <v>150.26</v>
      </c>
      <c r="Y67" s="4"/>
      <c r="Z67" s="4">
        <f ca="1">('TUSD BE'!$AM$12+'TUSD BF'!$AM$12+'TUSD CVA'!$AM$12)*1</f>
        <v>94.517694765168258</v>
      </c>
      <c r="AA67" s="4">
        <f>('TE BE'!$AB$6+'TE BF'!$AB$6+'TE CVA'!$AB$6)*1</f>
        <v>136.62265710865657</v>
      </c>
      <c r="AB67" s="4">
        <f>$K$67*$V$67</f>
        <v>0</v>
      </c>
      <c r="AC67" s="4">
        <f>$M$67*$W$67</f>
        <v>288.79754000000003</v>
      </c>
      <c r="AD67" s="4">
        <f>$O$67*$X$67</f>
        <v>718.69358</v>
      </c>
      <c r="AE67" s="4">
        <f>$K$67*$Y$67</f>
        <v>0</v>
      </c>
      <c r="AF67" s="4">
        <f ca="1">$M$67*$Z$67</f>
        <v>452.0781340617998</v>
      </c>
      <c r="AG67" s="4">
        <f>$O$67*$AA$67</f>
        <v>653.4661689507044</v>
      </c>
    </row>
    <row r="68" spans="1:33" ht="11.25" customHeight="1" x14ac:dyDescent="0.25">
      <c r="A68" s="3" t="s">
        <v>21</v>
      </c>
      <c r="B68" s="3" t="s">
        <v>35</v>
      </c>
      <c r="C68" s="3" t="s">
        <v>39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44531</v>
      </c>
      <c r="J68" s="4">
        <v>0</v>
      </c>
      <c r="K68" s="4">
        <v>0</v>
      </c>
      <c r="L68" s="4">
        <v>5565.7330000000002</v>
      </c>
      <c r="M68" s="4">
        <v>5565.7330000000002</v>
      </c>
      <c r="N68" s="4">
        <v>5565.7330000000002</v>
      </c>
      <c r="O68" s="4">
        <v>5565.7330000000002</v>
      </c>
      <c r="P68" s="4">
        <v>0</v>
      </c>
      <c r="Q68" s="3" t="s">
        <v>26</v>
      </c>
      <c r="R68" s="3">
        <v>0</v>
      </c>
      <c r="S68" s="4">
        <v>0</v>
      </c>
      <c r="T68" s="4">
        <v>50</v>
      </c>
      <c r="U68" s="4">
        <v>61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60.38</v>
      </c>
      <c r="X68" s="4">
        <f>IF(ISERROR(VLOOKUP($U$68,'TAR FIN'!$A$1:$O$88,15,0)),0,VLOOKUP($U$68,'TAR FIN'!$A$1:$O$88,15,0))</f>
        <v>150.26</v>
      </c>
      <c r="Y68" s="4"/>
      <c r="Z68" s="4">
        <f ca="1">('TUSD BE'!$AM$12+'TUSD BF'!$AM$12+'TUSD CVA'!$AM$12)*1</f>
        <v>94.517694765168258</v>
      </c>
      <c r="AA68" s="4">
        <f>('TE BE'!$AB$6+'TE BF'!$AB$6+'TE CVA'!$AB$6)*1</f>
        <v>136.62265710865657</v>
      </c>
      <c r="AB68" s="4">
        <f>$K$68*$V$68</f>
        <v>0</v>
      </c>
      <c r="AC68" s="4">
        <f>$M$68*$W$68</f>
        <v>336058.95854000002</v>
      </c>
      <c r="AD68" s="4">
        <f>$O$68*$X$68</f>
        <v>836307.04058000003</v>
      </c>
      <c r="AE68" s="4">
        <f>$K$68*$Y$68</f>
        <v>0</v>
      </c>
      <c r="AF68" s="4">
        <f ca="1">$M$68*$Z$68</f>
        <v>526060.25283842429</v>
      </c>
      <c r="AG68" s="4">
        <f>$O$68*$AA$68</f>
        <v>760405.23121733451</v>
      </c>
    </row>
    <row r="69" spans="1:33" ht="11.25" customHeight="1" x14ac:dyDescent="0.25">
      <c r="A69" s="3" t="s">
        <v>21</v>
      </c>
      <c r="B69" s="3" t="s">
        <v>35</v>
      </c>
      <c r="C69" s="3" t="s">
        <v>39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44562</v>
      </c>
      <c r="J69" s="4">
        <v>0</v>
      </c>
      <c r="K69" s="4">
        <v>0</v>
      </c>
      <c r="L69" s="4">
        <v>4959.33</v>
      </c>
      <c r="M69" s="4">
        <v>4959.33</v>
      </c>
      <c r="N69" s="4">
        <v>4959.33</v>
      </c>
      <c r="O69" s="4">
        <v>4959.33</v>
      </c>
      <c r="P69" s="4">
        <v>0</v>
      </c>
      <c r="Q69" s="3" t="s">
        <v>26</v>
      </c>
      <c r="R69" s="3">
        <v>0</v>
      </c>
      <c r="S69" s="4">
        <v>0</v>
      </c>
      <c r="T69" s="4">
        <v>50</v>
      </c>
      <c r="U69" s="4">
        <v>61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60.38</v>
      </c>
      <c r="X69" s="4">
        <f>IF(ISERROR(VLOOKUP($U$69,'TAR FIN'!$A$1:$O$88,15,0)),0,VLOOKUP($U$69,'TAR FIN'!$A$1:$O$88,15,0))</f>
        <v>150.26</v>
      </c>
      <c r="Y69" s="4"/>
      <c r="Z69" s="4">
        <f ca="1">('TUSD BE'!$AM$12+'TUSD BF'!$AM$12+'TUSD CVA'!$AM$12)*1</f>
        <v>94.517694765168258</v>
      </c>
      <c r="AA69" s="4">
        <f>('TE BE'!$AB$6+'TE BF'!$AB$6+'TE CVA'!$AB$6)*1</f>
        <v>136.62265710865657</v>
      </c>
      <c r="AB69" s="4">
        <f>$K$69*$V$69</f>
        <v>0</v>
      </c>
      <c r="AC69" s="4">
        <f>$M$69*$W$69</f>
        <v>299444.34539999999</v>
      </c>
      <c r="AD69" s="4">
        <f>$O$69*$X$69</f>
        <v>745188.92579999997</v>
      </c>
      <c r="AE69" s="4">
        <f>$K$69*$Y$69</f>
        <v>0</v>
      </c>
      <c r="AF69" s="4">
        <f ca="1">$M$69*$Z$69</f>
        <v>468744.43917974189</v>
      </c>
      <c r="AG69" s="4">
        <f>$O$69*$AA$69</f>
        <v>677556.84207867377</v>
      </c>
    </row>
    <row r="70" spans="1:33" ht="11.25" customHeight="1" x14ac:dyDescent="0.25">
      <c r="A70" s="3" t="s">
        <v>21</v>
      </c>
      <c r="B70" s="3" t="s">
        <v>35</v>
      </c>
      <c r="C70" s="3" t="s">
        <v>39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44593</v>
      </c>
      <c r="J70" s="4">
        <v>0</v>
      </c>
      <c r="K70" s="4">
        <v>0</v>
      </c>
      <c r="L70" s="4">
        <v>5092.2809999999999</v>
      </c>
      <c r="M70" s="4">
        <v>5092.2809999999999</v>
      </c>
      <c r="N70" s="4">
        <v>5092.2809999999999</v>
      </c>
      <c r="O70" s="4">
        <v>5092.2809999999999</v>
      </c>
      <c r="P70" s="4">
        <v>0</v>
      </c>
      <c r="Q70" s="3" t="s">
        <v>26</v>
      </c>
      <c r="R70" s="3">
        <v>0</v>
      </c>
      <c r="S70" s="4">
        <v>0</v>
      </c>
      <c r="T70" s="4">
        <v>50</v>
      </c>
      <c r="U70" s="4">
        <v>61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60.38</v>
      </c>
      <c r="X70" s="4">
        <f>IF(ISERROR(VLOOKUP($U$70,'TAR FIN'!$A$1:$O$88,15,0)),0,VLOOKUP($U$70,'TAR FIN'!$A$1:$O$88,15,0))</f>
        <v>150.26</v>
      </c>
      <c r="Y70" s="4"/>
      <c r="Z70" s="4">
        <f ca="1">('TUSD BE'!$AM$12+'TUSD BF'!$AM$12+'TUSD CVA'!$AM$12)*1</f>
        <v>94.517694765168258</v>
      </c>
      <c r="AA70" s="4">
        <f>('TE BE'!$AB$6+'TE BF'!$AB$6+'TE CVA'!$AB$6)*1</f>
        <v>136.62265710865657</v>
      </c>
      <c r="AB70" s="4">
        <f>$K$70*$V$70</f>
        <v>0</v>
      </c>
      <c r="AC70" s="4">
        <f>$M$70*$W$70</f>
        <v>307471.92678000004</v>
      </c>
      <c r="AD70" s="4">
        <f>$O$70*$X$70</f>
        <v>765166.14305999991</v>
      </c>
      <c r="AE70" s="4">
        <f>$K$70*$Y$70</f>
        <v>0</v>
      </c>
      <c r="AF70" s="4">
        <f ca="1">$M$70*$Z$70</f>
        <v>481310.66121646576</v>
      </c>
      <c r="AG70" s="4">
        <f>$O$70*$AA$70</f>
        <v>695720.96096392674</v>
      </c>
    </row>
    <row r="71" spans="1:33" ht="11.25" customHeight="1" x14ac:dyDescent="0.25">
      <c r="A71" s="3" t="s">
        <v>21</v>
      </c>
      <c r="B71" s="3" t="s">
        <v>35</v>
      </c>
      <c r="C71" s="3" t="s">
        <v>39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38</v>
      </c>
      <c r="I71" s="6">
        <v>44621</v>
      </c>
      <c r="J71" s="4">
        <v>0</v>
      </c>
      <c r="K71" s="4">
        <v>0</v>
      </c>
      <c r="L71" s="4">
        <v>5276.2020000000002</v>
      </c>
      <c r="M71" s="4">
        <v>5276.2020000000002</v>
      </c>
      <c r="N71" s="4">
        <v>5276.2020000000002</v>
      </c>
      <c r="O71" s="4">
        <v>5276.2020000000002</v>
      </c>
      <c r="P71" s="4">
        <v>0</v>
      </c>
      <c r="Q71" s="3" t="s">
        <v>26</v>
      </c>
      <c r="R71" s="3">
        <v>0</v>
      </c>
      <c r="S71" s="4">
        <v>0</v>
      </c>
      <c r="T71" s="4">
        <v>50</v>
      </c>
      <c r="U71" s="4">
        <v>61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60.38</v>
      </c>
      <c r="X71" s="4">
        <f>IF(ISERROR(VLOOKUP($U$71,'TAR FIN'!$A$1:$O$88,15,0)),0,VLOOKUP($U$71,'TAR FIN'!$A$1:$O$88,15,0))</f>
        <v>150.26</v>
      </c>
      <c r="Y71" s="4"/>
      <c r="Z71" s="4">
        <f ca="1">('TUSD BE'!$AM$12+'TUSD BF'!$AM$12+'TUSD CVA'!$AM$12)*1</f>
        <v>94.517694765168258</v>
      </c>
      <c r="AA71" s="4">
        <f>('TE BE'!$AB$6+'TE BF'!$AB$6+'TE CVA'!$AB$6)*1</f>
        <v>136.62265710865657</v>
      </c>
      <c r="AB71" s="4">
        <f>$K$71*$V$71</f>
        <v>0</v>
      </c>
      <c r="AC71" s="4">
        <f>$M$71*$W$71</f>
        <v>318577.07676000003</v>
      </c>
      <c r="AD71" s="4">
        <f>$O$71*$X$71</f>
        <v>792802.11251999997</v>
      </c>
      <c r="AE71" s="4">
        <f>$K$71*$Y$71</f>
        <v>0</v>
      </c>
      <c r="AF71" s="4">
        <f ca="1">$M$71*$Z$71</f>
        <v>498694.45015537029</v>
      </c>
      <c r="AG71" s="4">
        <f>$O$71*$AA$71</f>
        <v>720848.73668200802</v>
      </c>
    </row>
    <row r="72" spans="1:33" ht="11.25" customHeight="1" x14ac:dyDescent="0.25">
      <c r="A72" s="3" t="s">
        <v>28</v>
      </c>
      <c r="B72" s="3" t="s">
        <v>35</v>
      </c>
      <c r="C72" s="3" t="s">
        <v>39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38</v>
      </c>
      <c r="I72" s="6">
        <v>44621</v>
      </c>
      <c r="J72" s="4">
        <v>0</v>
      </c>
      <c r="K72" s="4">
        <v>0</v>
      </c>
      <c r="L72" s="4">
        <v>2.254</v>
      </c>
      <c r="M72" s="4">
        <v>2.254</v>
      </c>
      <c r="N72" s="4">
        <v>2.254</v>
      </c>
      <c r="O72" s="4">
        <v>2.254</v>
      </c>
      <c r="P72" s="4">
        <v>0</v>
      </c>
      <c r="Q72" s="3" t="s">
        <v>26</v>
      </c>
      <c r="R72" s="3">
        <v>0</v>
      </c>
      <c r="S72" s="4">
        <v>0</v>
      </c>
      <c r="T72" s="4">
        <v>50</v>
      </c>
      <c r="U72" s="4">
        <v>61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60.38</v>
      </c>
      <c r="X72" s="4">
        <f>IF(ISERROR(VLOOKUP($U$72,'TAR FIN'!$A$1:$O$88,15,0)),0,VLOOKUP($U$72,'TAR FIN'!$A$1:$O$88,15,0))</f>
        <v>150.26</v>
      </c>
      <c r="Y72" s="4"/>
      <c r="Z72" s="4">
        <f ca="1">('TUSD BE'!$AM$12+'TUSD BF'!$AM$12+'TUSD CVA'!$AM$12)*1</f>
        <v>94.517694765168258</v>
      </c>
      <c r="AA72" s="4">
        <f>('TE BE'!$AB$6+'TE BF'!$AB$6+'TE CVA'!$AB$6)*1</f>
        <v>136.62265710865657</v>
      </c>
      <c r="AB72" s="4">
        <f>$K$72*$V$72</f>
        <v>0</v>
      </c>
      <c r="AC72" s="4">
        <f>$M$72*$W$72</f>
        <v>136.09652</v>
      </c>
      <c r="AD72" s="4">
        <f>$O$72*$X$72</f>
        <v>338.68603999999999</v>
      </c>
      <c r="AE72" s="4">
        <f>$K$72*$Y$72</f>
        <v>0</v>
      </c>
      <c r="AF72" s="4">
        <f ca="1">$M$72*$Z$72</f>
        <v>213.04288400068924</v>
      </c>
      <c r="AG72" s="4">
        <f>$O$72*$AA$72</f>
        <v>307.94746912291191</v>
      </c>
    </row>
    <row r="73" spans="1:33" ht="11.25" customHeight="1" x14ac:dyDescent="0.25">
      <c r="A73" s="3" t="s">
        <v>21</v>
      </c>
      <c r="B73" s="3" t="s">
        <v>35</v>
      </c>
      <c r="C73" s="3" t="s">
        <v>39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38</v>
      </c>
      <c r="I73" s="6">
        <v>44652</v>
      </c>
      <c r="J73" s="4">
        <v>0</v>
      </c>
      <c r="K73" s="4">
        <v>0</v>
      </c>
      <c r="L73" s="4">
        <v>5949.9269999999997</v>
      </c>
      <c r="M73" s="4">
        <v>5949.9269999999997</v>
      </c>
      <c r="N73" s="4">
        <v>5949.9269999999997</v>
      </c>
      <c r="O73" s="4">
        <v>5949.9269999999997</v>
      </c>
      <c r="P73" s="4">
        <v>0</v>
      </c>
      <c r="Q73" s="3" t="s">
        <v>26</v>
      </c>
      <c r="R73" s="3">
        <v>0</v>
      </c>
      <c r="S73" s="4">
        <v>0</v>
      </c>
      <c r="T73" s="4">
        <v>50</v>
      </c>
      <c r="U73" s="4">
        <v>61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60.38</v>
      </c>
      <c r="X73" s="4">
        <f>IF(ISERROR(VLOOKUP($U$73,'TAR FIN'!$A$1:$O$88,15,0)),0,VLOOKUP($U$73,'TAR FIN'!$A$1:$O$88,15,0))</f>
        <v>150.26</v>
      </c>
      <c r="Y73" s="4"/>
      <c r="Z73" s="4">
        <f ca="1">('TUSD BE'!$AM$12+'TUSD BF'!$AM$12+'TUSD CVA'!$AM$12)*1</f>
        <v>94.517694765168258</v>
      </c>
      <c r="AA73" s="4">
        <f>('TE BE'!$AB$6+'TE BF'!$AB$6+'TE CVA'!$AB$6)*1</f>
        <v>136.62265710865657</v>
      </c>
      <c r="AB73" s="4">
        <f>$K$73*$V$73</f>
        <v>0</v>
      </c>
      <c r="AC73" s="4">
        <f>$M$73*$W$73</f>
        <v>359256.59226</v>
      </c>
      <c r="AD73" s="4">
        <f>$O$73*$X$73</f>
        <v>894036.03101999988</v>
      </c>
      <c r="AE73" s="4">
        <f>$K$73*$Y$73</f>
        <v>0</v>
      </c>
      <c r="AF73" s="4">
        <f ca="1">$M$73*$Z$73</f>
        <v>562373.38406103326</v>
      </c>
      <c r="AG73" s="4">
        <f>$O$73*$AA$73</f>
        <v>812894.83634253766</v>
      </c>
    </row>
    <row r="74" spans="1:33" ht="11.25" customHeight="1" x14ac:dyDescent="0.25">
      <c r="A74" s="3" t="s">
        <v>28</v>
      </c>
      <c r="B74" s="3" t="s">
        <v>35</v>
      </c>
      <c r="C74" s="3" t="s">
        <v>39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44652</v>
      </c>
      <c r="J74" s="4">
        <v>0</v>
      </c>
      <c r="K74" s="4">
        <v>0</v>
      </c>
      <c r="L74" s="4">
        <v>2.472</v>
      </c>
      <c r="M74" s="4">
        <v>2.472</v>
      </c>
      <c r="N74" s="4">
        <v>2.472</v>
      </c>
      <c r="O74" s="4">
        <v>2.472</v>
      </c>
      <c r="P74" s="4">
        <v>0</v>
      </c>
      <c r="Q74" s="3" t="s">
        <v>26</v>
      </c>
      <c r="R74" s="3">
        <v>0</v>
      </c>
      <c r="S74" s="4">
        <v>0</v>
      </c>
      <c r="T74" s="4">
        <v>50</v>
      </c>
      <c r="U74" s="4">
        <v>61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60.38</v>
      </c>
      <c r="X74" s="4">
        <f>IF(ISERROR(VLOOKUP($U$74,'TAR FIN'!$A$1:$O$88,15,0)),0,VLOOKUP($U$74,'TAR FIN'!$A$1:$O$88,15,0))</f>
        <v>150.26</v>
      </c>
      <c r="Y74" s="4"/>
      <c r="Z74" s="4">
        <f ca="1">('TUSD BE'!$AM$12+'TUSD BF'!$AM$12+'TUSD CVA'!$AM$12)*1</f>
        <v>94.517694765168258</v>
      </c>
      <c r="AA74" s="4">
        <f>('TE BE'!$AB$6+'TE BF'!$AB$6+'TE CVA'!$AB$6)*1</f>
        <v>136.62265710865657</v>
      </c>
      <c r="AB74" s="4">
        <f>$K$74*$V$74</f>
        <v>0</v>
      </c>
      <c r="AC74" s="4">
        <f>$M$74*$W$74</f>
        <v>149.25936000000002</v>
      </c>
      <c r="AD74" s="4">
        <f>$O$74*$X$74</f>
        <v>371.44271999999995</v>
      </c>
      <c r="AE74" s="4">
        <f>$K$74*$Y$74</f>
        <v>0</v>
      </c>
      <c r="AF74" s="4">
        <f ca="1">$M$74*$Z$74</f>
        <v>233.64774145949593</v>
      </c>
      <c r="AG74" s="4">
        <f>$O$74*$AA$74</f>
        <v>337.73120837259904</v>
      </c>
    </row>
    <row r="75" spans="1:33" ht="11.25" customHeight="1" x14ac:dyDescent="0.25">
      <c r="A75" s="3" t="s">
        <v>21</v>
      </c>
      <c r="B75" s="3" t="s">
        <v>35</v>
      </c>
      <c r="C75" s="3" t="s">
        <v>39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44682</v>
      </c>
      <c r="J75" s="4">
        <v>0</v>
      </c>
      <c r="K75" s="4">
        <v>0</v>
      </c>
      <c r="L75" s="4">
        <v>5911.1869999999999</v>
      </c>
      <c r="M75" s="4">
        <v>5911.1869999999999</v>
      </c>
      <c r="N75" s="4">
        <v>5911.1869999999999</v>
      </c>
      <c r="O75" s="4">
        <v>5911.1869999999999</v>
      </c>
      <c r="P75" s="4">
        <v>0</v>
      </c>
      <c r="Q75" s="3" t="s">
        <v>26</v>
      </c>
      <c r="R75" s="3">
        <v>0</v>
      </c>
      <c r="S75" s="4">
        <v>0</v>
      </c>
      <c r="T75" s="4">
        <v>50</v>
      </c>
      <c r="U75" s="4">
        <v>61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60.38</v>
      </c>
      <c r="X75" s="4">
        <f>IF(ISERROR(VLOOKUP($U$75,'TAR FIN'!$A$1:$O$88,15,0)),0,VLOOKUP($U$75,'TAR FIN'!$A$1:$O$88,15,0))</f>
        <v>150.26</v>
      </c>
      <c r="Y75" s="4"/>
      <c r="Z75" s="4">
        <f ca="1">('TUSD BE'!$AM$12+'TUSD BF'!$AM$12+'TUSD CVA'!$AM$12)*1</f>
        <v>94.517694765168258</v>
      </c>
      <c r="AA75" s="4">
        <f>('TE BE'!$AB$6+'TE BF'!$AB$6+'TE CVA'!$AB$6)*1</f>
        <v>136.62265710865657</v>
      </c>
      <c r="AB75" s="4">
        <f>$K$75*$V$75</f>
        <v>0</v>
      </c>
      <c r="AC75" s="4">
        <f>$M$75*$W$75</f>
        <v>356917.47106000001</v>
      </c>
      <c r="AD75" s="4">
        <f>$O$75*$X$75</f>
        <v>888214.95861999993</v>
      </c>
      <c r="AE75" s="4">
        <f>$K$75*$Y$75</f>
        <v>0</v>
      </c>
      <c r="AF75" s="4">
        <f ca="1">$M$75*$Z$75</f>
        <v>558711.76856583066</v>
      </c>
      <c r="AG75" s="4">
        <f>$O$75*$AA$75</f>
        <v>807602.07460614829</v>
      </c>
    </row>
    <row r="76" spans="1:33" ht="11.25" customHeight="1" x14ac:dyDescent="0.25">
      <c r="A76" s="3" t="s">
        <v>28</v>
      </c>
      <c r="B76" s="3" t="s">
        <v>35</v>
      </c>
      <c r="C76" s="3" t="s">
        <v>39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44682</v>
      </c>
      <c r="J76" s="4">
        <v>0</v>
      </c>
      <c r="K76" s="4">
        <v>0</v>
      </c>
      <c r="L76" s="4">
        <v>5.22</v>
      </c>
      <c r="M76" s="4">
        <v>5.22</v>
      </c>
      <c r="N76" s="4">
        <v>5.22</v>
      </c>
      <c r="O76" s="4">
        <v>5.22</v>
      </c>
      <c r="P76" s="4">
        <v>0</v>
      </c>
      <c r="Q76" s="3" t="s">
        <v>26</v>
      </c>
      <c r="R76" s="3">
        <v>0</v>
      </c>
      <c r="S76" s="4">
        <v>0</v>
      </c>
      <c r="T76" s="4">
        <v>50</v>
      </c>
      <c r="U76" s="4">
        <v>61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60.38</v>
      </c>
      <c r="X76" s="4">
        <f>IF(ISERROR(VLOOKUP($U$76,'TAR FIN'!$A$1:$O$88,15,0)),0,VLOOKUP($U$76,'TAR FIN'!$A$1:$O$88,15,0))</f>
        <v>150.26</v>
      </c>
      <c r="Y76" s="4"/>
      <c r="Z76" s="4">
        <f ca="1">('TUSD BE'!$AM$12+'TUSD BF'!$AM$12+'TUSD CVA'!$AM$12)*1</f>
        <v>94.517694765168258</v>
      </c>
      <c r="AA76" s="4">
        <f>('TE BE'!$AB$6+'TE BF'!$AB$6+'TE CVA'!$AB$6)*1</f>
        <v>136.62265710865657</v>
      </c>
      <c r="AB76" s="4">
        <f>$K$76*$V$76</f>
        <v>0</v>
      </c>
      <c r="AC76" s="4">
        <f>$M$76*$W$76</f>
        <v>315.18360000000001</v>
      </c>
      <c r="AD76" s="4">
        <f>$O$76*$X$76</f>
        <v>784.35719999999992</v>
      </c>
      <c r="AE76" s="4">
        <f>$K$76*$Y$76</f>
        <v>0</v>
      </c>
      <c r="AF76" s="4">
        <f ca="1">$M$76*$Z$76</f>
        <v>493.38236667417829</v>
      </c>
      <c r="AG76" s="4">
        <f>$O$76*$AA$76</f>
        <v>713.17027010718721</v>
      </c>
    </row>
    <row r="77" spans="1:33" ht="11.25" customHeight="1" x14ac:dyDescent="0.25">
      <c r="A77" s="3" t="s">
        <v>21</v>
      </c>
      <c r="B77" s="3" t="s">
        <v>35</v>
      </c>
      <c r="C77" s="3" t="s">
        <v>39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44713</v>
      </c>
      <c r="J77" s="4">
        <v>0</v>
      </c>
      <c r="K77" s="4">
        <v>0</v>
      </c>
      <c r="L77" s="4">
        <v>6039.3620000000001</v>
      </c>
      <c r="M77" s="4">
        <v>6039.3620000000001</v>
      </c>
      <c r="N77" s="4">
        <v>6039.3620000000001</v>
      </c>
      <c r="O77" s="4">
        <v>6039.3620000000001</v>
      </c>
      <c r="P77" s="4">
        <v>0</v>
      </c>
      <c r="Q77" s="3" t="s">
        <v>26</v>
      </c>
      <c r="R77" s="3">
        <v>0</v>
      </c>
      <c r="S77" s="4">
        <v>0</v>
      </c>
      <c r="T77" s="4">
        <v>50</v>
      </c>
      <c r="U77" s="4">
        <v>61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60.38</v>
      </c>
      <c r="X77" s="4">
        <f>IF(ISERROR(VLOOKUP($U$77,'TAR FIN'!$A$1:$O$88,15,0)),0,VLOOKUP($U$77,'TAR FIN'!$A$1:$O$88,15,0))</f>
        <v>150.26</v>
      </c>
      <c r="Y77" s="4"/>
      <c r="Z77" s="4">
        <f ca="1">('TUSD BE'!$AM$12+'TUSD BF'!$AM$12+'TUSD CVA'!$AM$12)*1</f>
        <v>94.517694765168258</v>
      </c>
      <c r="AA77" s="4">
        <f>('TE BE'!$AB$6+'TE BF'!$AB$6+'TE CVA'!$AB$6)*1</f>
        <v>136.62265710865657</v>
      </c>
      <c r="AB77" s="4">
        <f>$K$77*$V$77</f>
        <v>0</v>
      </c>
      <c r="AC77" s="4">
        <f>$M$77*$W$77</f>
        <v>364656.67756000004</v>
      </c>
      <c r="AD77" s="4">
        <f>$O$77*$X$77</f>
        <v>907474.53411999997</v>
      </c>
      <c r="AE77" s="4">
        <f>$K$77*$Y$77</f>
        <v>0</v>
      </c>
      <c r="AF77" s="4">
        <f ca="1">$M$77*$Z$77</f>
        <v>570826.57409235614</v>
      </c>
      <c r="AG77" s="4">
        <f>$O$77*$AA$77</f>
        <v>825113.68368105032</v>
      </c>
    </row>
    <row r="78" spans="1:33" ht="11.25" customHeight="1" x14ac:dyDescent="0.25">
      <c r="A78" s="3" t="s">
        <v>28</v>
      </c>
      <c r="B78" s="3" t="s">
        <v>35</v>
      </c>
      <c r="C78" s="3" t="s">
        <v>39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44713</v>
      </c>
      <c r="J78" s="4">
        <v>0</v>
      </c>
      <c r="K78" s="4">
        <v>0</v>
      </c>
      <c r="L78" s="4">
        <v>3.73</v>
      </c>
      <c r="M78" s="4">
        <v>3.73</v>
      </c>
      <c r="N78" s="4">
        <v>3.73</v>
      </c>
      <c r="O78" s="4">
        <v>3.73</v>
      </c>
      <c r="P78" s="4">
        <v>0</v>
      </c>
      <c r="Q78" s="3" t="s">
        <v>26</v>
      </c>
      <c r="R78" s="3">
        <v>0</v>
      </c>
      <c r="S78" s="4">
        <v>0</v>
      </c>
      <c r="T78" s="4">
        <v>50</v>
      </c>
      <c r="U78" s="4">
        <v>61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60.38</v>
      </c>
      <c r="X78" s="4">
        <f>IF(ISERROR(VLOOKUP($U$78,'TAR FIN'!$A$1:$O$88,15,0)),0,VLOOKUP($U$78,'TAR FIN'!$A$1:$O$88,15,0))</f>
        <v>150.26</v>
      </c>
      <c r="Y78" s="4"/>
      <c r="Z78" s="4">
        <f ca="1">('TUSD BE'!$AM$12+'TUSD BF'!$AM$12+'TUSD CVA'!$AM$12)*1</f>
        <v>94.517694765168258</v>
      </c>
      <c r="AA78" s="4">
        <f>('TE BE'!$AB$6+'TE BF'!$AB$6+'TE CVA'!$AB$6)*1</f>
        <v>136.62265710865657</v>
      </c>
      <c r="AB78" s="4">
        <f>$K$78*$V$78</f>
        <v>0</v>
      </c>
      <c r="AC78" s="4">
        <f>$M$78*$W$78</f>
        <v>225.2174</v>
      </c>
      <c r="AD78" s="4">
        <f>$O$78*$X$78</f>
        <v>560.46979999999996</v>
      </c>
      <c r="AE78" s="4">
        <f>$K$78*$Y$78</f>
        <v>0</v>
      </c>
      <c r="AF78" s="4">
        <f ca="1">$M$78*$Z$78</f>
        <v>352.55100147407762</v>
      </c>
      <c r="AG78" s="4">
        <f>$O$78*$AA$78</f>
        <v>509.602511015289</v>
      </c>
    </row>
    <row r="79" spans="1:33" ht="11.25" customHeight="1" x14ac:dyDescent="0.25">
      <c r="A79" s="3" t="s">
        <v>21</v>
      </c>
      <c r="B79" s="3" t="s">
        <v>35</v>
      </c>
      <c r="C79" s="3" t="s">
        <v>39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44743</v>
      </c>
      <c r="J79" s="4">
        <v>0</v>
      </c>
      <c r="K79" s="4">
        <v>0</v>
      </c>
      <c r="L79" s="4">
        <v>5803.6809999999996</v>
      </c>
      <c r="M79" s="4">
        <v>5803.6809999999996</v>
      </c>
      <c r="N79" s="4">
        <v>5803.6809999999996</v>
      </c>
      <c r="O79" s="4">
        <v>5803.6809999999996</v>
      </c>
      <c r="P79" s="4">
        <v>0</v>
      </c>
      <c r="Q79" s="3" t="s">
        <v>26</v>
      </c>
      <c r="R79" s="3">
        <v>0</v>
      </c>
      <c r="S79" s="4">
        <v>0</v>
      </c>
      <c r="T79" s="4">
        <v>50</v>
      </c>
      <c r="U79" s="4">
        <v>61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60.38</v>
      </c>
      <c r="X79" s="4">
        <f>IF(ISERROR(VLOOKUP($U$79,'TAR FIN'!$A$1:$O$88,15,0)),0,VLOOKUP($U$79,'TAR FIN'!$A$1:$O$88,15,0))</f>
        <v>150.26</v>
      </c>
      <c r="Y79" s="4"/>
      <c r="Z79" s="4">
        <f ca="1">('TUSD BE'!$AM$12+'TUSD BF'!$AM$12+'TUSD CVA'!$AM$12)*1</f>
        <v>94.517694765168258</v>
      </c>
      <c r="AA79" s="4">
        <f>('TE BE'!$AB$6+'TE BF'!$AB$6+'TE CVA'!$AB$6)*1</f>
        <v>136.62265710865657</v>
      </c>
      <c r="AB79" s="4">
        <f>$K$79*$V$79</f>
        <v>0</v>
      </c>
      <c r="AC79" s="4">
        <f>$M$79*$W$79</f>
        <v>350426.25877999997</v>
      </c>
      <c r="AD79" s="4">
        <f>$O$79*$X$79</f>
        <v>872061.10705999983</v>
      </c>
      <c r="AE79" s="4">
        <f>$K$79*$Y$79</f>
        <v>0</v>
      </c>
      <c r="AF79" s="4">
        <f ca="1">$M$79*$Z$79</f>
        <v>548550.5492724065</v>
      </c>
      <c r="AG79" s="4">
        <f>$O$79*$AA$79</f>
        <v>792914.31923102506</v>
      </c>
    </row>
    <row r="80" spans="1:33" ht="11.25" customHeight="1" x14ac:dyDescent="0.25">
      <c r="A80" s="3" t="s">
        <v>28</v>
      </c>
      <c r="B80" s="3" t="s">
        <v>35</v>
      </c>
      <c r="C80" s="3" t="s">
        <v>39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44743</v>
      </c>
      <c r="J80" s="4">
        <v>0</v>
      </c>
      <c r="K80" s="4">
        <v>0</v>
      </c>
      <c r="L80" s="4">
        <v>6.0250000000000004</v>
      </c>
      <c r="M80" s="4">
        <v>6.0250000000000004</v>
      </c>
      <c r="N80" s="4">
        <v>6.0250000000000004</v>
      </c>
      <c r="O80" s="4">
        <v>6.0250000000000004</v>
      </c>
      <c r="P80" s="4">
        <v>0</v>
      </c>
      <c r="Q80" s="3" t="s">
        <v>26</v>
      </c>
      <c r="R80" s="3">
        <v>0</v>
      </c>
      <c r="S80" s="4">
        <v>0</v>
      </c>
      <c r="T80" s="4">
        <v>50</v>
      </c>
      <c r="U80" s="4">
        <v>61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60.38</v>
      </c>
      <c r="X80" s="4">
        <f>IF(ISERROR(VLOOKUP($U$80,'TAR FIN'!$A$1:$O$88,15,0)),0,VLOOKUP($U$80,'TAR FIN'!$A$1:$O$88,15,0))</f>
        <v>150.26</v>
      </c>
      <c r="Y80" s="4"/>
      <c r="Z80" s="4">
        <f ca="1">('TUSD BE'!$AM$12+'TUSD BF'!$AM$12+'TUSD CVA'!$AM$12)*1</f>
        <v>94.517694765168258</v>
      </c>
      <c r="AA80" s="4">
        <f>('TE BE'!$AB$6+'TE BF'!$AB$6+'TE CVA'!$AB$6)*1</f>
        <v>136.62265710865657</v>
      </c>
      <c r="AB80" s="4">
        <f>$K$80*$V$80</f>
        <v>0</v>
      </c>
      <c r="AC80" s="4">
        <f>$M$80*$W$80</f>
        <v>363.78950000000003</v>
      </c>
      <c r="AD80" s="4">
        <f>$O$80*$X$80</f>
        <v>905.31650000000002</v>
      </c>
      <c r="AE80" s="4">
        <f>$K$80*$Y$80</f>
        <v>0</v>
      </c>
      <c r="AF80" s="4">
        <f ca="1">$M$80*$Z$80</f>
        <v>569.46911096013878</v>
      </c>
      <c r="AG80" s="4">
        <f>$O$80*$AA$80</f>
        <v>823.15150907965585</v>
      </c>
    </row>
    <row r="81" spans="1:33" ht="11.25" customHeight="1" x14ac:dyDescent="0.25">
      <c r="A81" s="3" t="s">
        <v>55</v>
      </c>
      <c r="B81" s="3" t="s">
        <v>35</v>
      </c>
      <c r="C81" s="3" t="s">
        <v>39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44774</v>
      </c>
      <c r="J81" s="4">
        <v>0</v>
      </c>
      <c r="K81" s="4">
        <v>0</v>
      </c>
      <c r="L81" s="4">
        <v>5803.6809999999996</v>
      </c>
      <c r="M81" s="4">
        <v>5803.6809999999996</v>
      </c>
      <c r="N81" s="4">
        <v>5803.6809999999996</v>
      </c>
      <c r="O81" s="4">
        <v>5803.6809999999996</v>
      </c>
      <c r="P81" s="4">
        <v>0</v>
      </c>
      <c r="Q81" s="3" t="s">
        <v>26</v>
      </c>
      <c r="R81" s="3">
        <v>0</v>
      </c>
      <c r="S81" s="4">
        <v>0</v>
      </c>
      <c r="T81" s="4">
        <v>50</v>
      </c>
      <c r="U81" s="4">
        <v>61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60.38</v>
      </c>
      <c r="X81" s="4">
        <f>IF(ISERROR(VLOOKUP($U$81,'TAR FIN'!$A$1:$O$88,15,0)),0,VLOOKUP($U$81,'TAR FIN'!$A$1:$O$88,15,0))</f>
        <v>150.26</v>
      </c>
      <c r="Y81" s="4"/>
      <c r="Z81" s="4">
        <f ca="1">('TUSD BE'!$AM$12+'TUSD BF'!$AM$12+'TUSD CVA'!$AM$12)*1</f>
        <v>94.517694765168258</v>
      </c>
      <c r="AA81" s="4">
        <f>('TE BE'!$AB$6+'TE BF'!$AB$6+'TE CVA'!$AB$6)*1</f>
        <v>136.62265710865657</v>
      </c>
      <c r="AB81" s="4">
        <f>$K$81*$V$81</f>
        <v>0</v>
      </c>
      <c r="AC81" s="4">
        <f>$M$81*$W$81</f>
        <v>350426.25877999997</v>
      </c>
      <c r="AD81" s="4">
        <f>$O$81*$X$81</f>
        <v>872061.10705999983</v>
      </c>
      <c r="AE81" s="4">
        <f>$K$81*$Y$81</f>
        <v>0</v>
      </c>
      <c r="AF81" s="4">
        <f ca="1">$M$81*$Z$81</f>
        <v>548550.5492724065</v>
      </c>
      <c r="AG81" s="4">
        <f>$O$81*$AA$81</f>
        <v>792914.31923102506</v>
      </c>
    </row>
    <row r="82" spans="1:33" ht="11.25" customHeight="1" x14ac:dyDescent="0.25">
      <c r="A82" s="3" t="s">
        <v>55</v>
      </c>
      <c r="B82" s="3" t="s">
        <v>35</v>
      </c>
      <c r="C82" s="3" t="s">
        <v>39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44774</v>
      </c>
      <c r="J82" s="4">
        <v>0</v>
      </c>
      <c r="K82" s="4">
        <v>0</v>
      </c>
      <c r="L82" s="4">
        <v>6.0250000000000004</v>
      </c>
      <c r="M82" s="4">
        <v>6.0250000000000004</v>
      </c>
      <c r="N82" s="4">
        <v>6.0250000000000004</v>
      </c>
      <c r="O82" s="4">
        <v>6.0250000000000004</v>
      </c>
      <c r="P82" s="4">
        <v>0</v>
      </c>
      <c r="Q82" s="3" t="s">
        <v>26</v>
      </c>
      <c r="R82" s="3">
        <v>0</v>
      </c>
      <c r="S82" s="4">
        <v>0</v>
      </c>
      <c r="T82" s="4">
        <v>50</v>
      </c>
      <c r="U82" s="4">
        <v>61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60.38</v>
      </c>
      <c r="X82" s="4">
        <f>IF(ISERROR(VLOOKUP($U$82,'TAR FIN'!$A$1:$O$88,15,0)),0,VLOOKUP($U$82,'TAR FIN'!$A$1:$O$88,15,0))</f>
        <v>150.26</v>
      </c>
      <c r="Y82" s="4"/>
      <c r="Z82" s="4">
        <f ca="1">('TUSD BE'!$AM$12+'TUSD BF'!$AM$12+'TUSD CVA'!$AM$12)*1</f>
        <v>94.517694765168258</v>
      </c>
      <c r="AA82" s="4">
        <f>('TE BE'!$AB$6+'TE BF'!$AB$6+'TE CVA'!$AB$6)*1</f>
        <v>136.62265710865657</v>
      </c>
      <c r="AB82" s="4">
        <f>$K$82*$V$82</f>
        <v>0</v>
      </c>
      <c r="AC82" s="4">
        <f>$M$82*$W$82</f>
        <v>363.78950000000003</v>
      </c>
      <c r="AD82" s="4">
        <f>$O$82*$X$82</f>
        <v>905.31650000000002</v>
      </c>
      <c r="AE82" s="4">
        <f>$K$82*$Y$82</f>
        <v>0</v>
      </c>
      <c r="AF82" s="4">
        <f ca="1">$M$82*$Z$82</f>
        <v>569.46911096013878</v>
      </c>
      <c r="AG82" s="4">
        <f>$O$82*$AA$82</f>
        <v>823.15150907965585</v>
      </c>
    </row>
    <row r="83" spans="1:33" ht="11.25" customHeight="1" x14ac:dyDescent="0.25">
      <c r="A83" s="3" t="s">
        <v>21</v>
      </c>
      <c r="B83" s="3" t="s">
        <v>35</v>
      </c>
      <c r="C83" s="3" t="s">
        <v>39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44440</v>
      </c>
      <c r="J83" s="4">
        <v>21263</v>
      </c>
      <c r="K83" s="4">
        <v>21263</v>
      </c>
      <c r="L83" s="4">
        <v>0</v>
      </c>
      <c r="M83" s="4">
        <v>0</v>
      </c>
      <c r="N83" s="4">
        <v>0</v>
      </c>
      <c r="O83" s="4">
        <v>0</v>
      </c>
      <c r="P83" s="4">
        <v>69</v>
      </c>
      <c r="Q83" s="3" t="s">
        <v>26</v>
      </c>
      <c r="R83" s="3">
        <v>0</v>
      </c>
      <c r="S83" s="4">
        <v>46</v>
      </c>
      <c r="T83" s="4">
        <v>0</v>
      </c>
      <c r="U83" s="4">
        <v>0</v>
      </c>
      <c r="V83" s="4">
        <f>IF(ISERROR(VLOOKUP($S$83,'TAR FIN'!$A$1:$O$88,15,0)),0,VLOOKUP($S$83,'TAR FIN'!$A$1:$O$88,15,0))</f>
        <v>34.479999999999997</v>
      </c>
      <c r="W83" s="4">
        <f>IF(ISERROR(VLOOKUP($T$83,'TAR FIN'!$A$1:$O$88,15,0)),0,VLOOKUP($T$83,'TAR FIN'!$A$1:$O$88,15,0))</f>
        <v>0</v>
      </c>
      <c r="X83" s="4">
        <f>IF(ISERROR(VLOOKUP($U$83,'TAR FIN'!$A$1:$O$88,15,0)),0,VLOOKUP($U$83,'TAR FIN'!$A$1:$O$88,15,0))</f>
        <v>0</v>
      </c>
      <c r="Y83" s="4">
        <f ca="1">('TUSD BE'!$AM$10+'TUSD BF'!$AM$10+'TUSD CVA'!$AM$10)*1</f>
        <v>37.721850071081427</v>
      </c>
      <c r="Z83" s="4"/>
      <c r="AA83" s="4"/>
      <c r="AB83" s="4">
        <f>$K$83*$V$83</f>
        <v>733148.24</v>
      </c>
      <c r="AC83" s="4">
        <f>$M$83*$W$83</f>
        <v>0</v>
      </c>
      <c r="AD83" s="4">
        <f>$O$83*$X$83</f>
        <v>0</v>
      </c>
      <c r="AE83" s="4">
        <f ca="1">$K$83*$Y$83</f>
        <v>802079.6980614044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28</v>
      </c>
      <c r="B84" s="3" t="s">
        <v>35</v>
      </c>
      <c r="C84" s="3" t="s">
        <v>39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44440</v>
      </c>
      <c r="J84" s="4">
        <v>227</v>
      </c>
      <c r="K84" s="4">
        <v>227</v>
      </c>
      <c r="L84" s="4">
        <v>0</v>
      </c>
      <c r="M84" s="4">
        <v>0</v>
      </c>
      <c r="N84" s="4">
        <v>0</v>
      </c>
      <c r="O84" s="4">
        <v>0</v>
      </c>
      <c r="P84" s="4">
        <v>2</v>
      </c>
      <c r="Q84" s="3" t="s">
        <v>26</v>
      </c>
      <c r="R84" s="3">
        <v>0</v>
      </c>
      <c r="S84" s="4">
        <v>46</v>
      </c>
      <c r="T84" s="4">
        <v>0</v>
      </c>
      <c r="U84" s="4">
        <v>0</v>
      </c>
      <c r="V84" s="4">
        <f>IF(ISERROR(VLOOKUP($S$84,'TAR FIN'!$A$1:$O$88,15,0)),0,VLOOKUP($S$84,'TAR FIN'!$A$1:$O$88,15,0))</f>
        <v>34.479999999999997</v>
      </c>
      <c r="W84" s="4">
        <f>IF(ISERROR(VLOOKUP($T$84,'TAR FIN'!$A$1:$O$88,15,0)),0,VLOOKUP($T$84,'TAR FIN'!$A$1:$O$88,15,0))</f>
        <v>0</v>
      </c>
      <c r="X84" s="4">
        <f>IF(ISERROR(VLOOKUP($U$84,'TAR FIN'!$A$1:$O$88,15,0)),0,VLOOKUP($U$84,'TAR FIN'!$A$1:$O$88,15,0))</f>
        <v>0</v>
      </c>
      <c r="Y84" s="4">
        <f ca="1">('TUSD BE'!$AM$10+'TUSD BF'!$AM$10+'TUSD CVA'!$AM$10)*1</f>
        <v>37.721850071081427</v>
      </c>
      <c r="Z84" s="4"/>
      <c r="AA84" s="4"/>
      <c r="AB84" s="4">
        <f>$K$84*$V$84</f>
        <v>7826.9599999999991</v>
      </c>
      <c r="AC84" s="4">
        <f>$M$84*$W$84</f>
        <v>0</v>
      </c>
      <c r="AD84" s="4">
        <f>$O$84*$X$84</f>
        <v>0</v>
      </c>
      <c r="AE84" s="4">
        <f ca="1">$K$84*$Y$84</f>
        <v>8562.8599661354838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21</v>
      </c>
      <c r="B85" s="3" t="s">
        <v>35</v>
      </c>
      <c r="C85" s="3" t="s">
        <v>39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44470</v>
      </c>
      <c r="J85" s="4">
        <v>21128</v>
      </c>
      <c r="K85" s="4">
        <v>21128</v>
      </c>
      <c r="L85" s="4">
        <v>0</v>
      </c>
      <c r="M85" s="4">
        <v>0</v>
      </c>
      <c r="N85" s="4">
        <v>0</v>
      </c>
      <c r="O85" s="4">
        <v>0</v>
      </c>
      <c r="P85" s="4">
        <v>69</v>
      </c>
      <c r="Q85" s="3" t="s">
        <v>26</v>
      </c>
      <c r="R85" s="3">
        <v>0</v>
      </c>
      <c r="S85" s="4">
        <v>46</v>
      </c>
      <c r="T85" s="4">
        <v>0</v>
      </c>
      <c r="U85" s="4">
        <v>0</v>
      </c>
      <c r="V85" s="4">
        <f>IF(ISERROR(VLOOKUP($S$85,'TAR FIN'!$A$1:$O$88,15,0)),0,VLOOKUP($S$85,'TAR FIN'!$A$1:$O$88,15,0))</f>
        <v>34.479999999999997</v>
      </c>
      <c r="W85" s="4">
        <f>IF(ISERROR(VLOOKUP($T$85,'TAR FIN'!$A$1:$O$88,15,0)),0,VLOOKUP($T$85,'TAR FIN'!$A$1:$O$88,15,0))</f>
        <v>0</v>
      </c>
      <c r="X85" s="4">
        <f>IF(ISERROR(VLOOKUP($U$85,'TAR FIN'!$A$1:$O$88,15,0)),0,VLOOKUP($U$85,'TAR FIN'!$A$1:$O$88,15,0))</f>
        <v>0</v>
      </c>
      <c r="Y85" s="4">
        <f ca="1">('TUSD BE'!$AM$10+'TUSD BF'!$AM$10+'TUSD CVA'!$AM$10)*1</f>
        <v>37.721850071081427</v>
      </c>
      <c r="Z85" s="4"/>
      <c r="AA85" s="4"/>
      <c r="AB85" s="4">
        <f>$K$85*$V$85</f>
        <v>728493.44</v>
      </c>
      <c r="AC85" s="4">
        <f>$M$85*$W$85</f>
        <v>0</v>
      </c>
      <c r="AD85" s="4">
        <f>$O$85*$X$85</f>
        <v>0</v>
      </c>
      <c r="AE85" s="4">
        <f ca="1">$K$85*$Y$85</f>
        <v>796987.24830180837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28</v>
      </c>
      <c r="B86" s="3" t="s">
        <v>35</v>
      </c>
      <c r="C86" s="3" t="s">
        <v>39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44470</v>
      </c>
      <c r="J86" s="4">
        <v>255</v>
      </c>
      <c r="K86" s="4">
        <v>255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3" t="s">
        <v>26</v>
      </c>
      <c r="R86" s="3">
        <v>0</v>
      </c>
      <c r="S86" s="4">
        <v>46</v>
      </c>
      <c r="T86" s="4">
        <v>0</v>
      </c>
      <c r="U86" s="4">
        <v>0</v>
      </c>
      <c r="V86" s="4">
        <f>IF(ISERROR(VLOOKUP($S$86,'TAR FIN'!$A$1:$O$88,15,0)),0,VLOOKUP($S$86,'TAR FIN'!$A$1:$O$88,15,0))</f>
        <v>34.479999999999997</v>
      </c>
      <c r="W86" s="4">
        <f>IF(ISERROR(VLOOKUP($T$86,'TAR FIN'!$A$1:$O$88,15,0)),0,VLOOKUP($T$86,'TAR FIN'!$A$1:$O$88,15,0))</f>
        <v>0</v>
      </c>
      <c r="X86" s="4">
        <f>IF(ISERROR(VLOOKUP($U$86,'TAR FIN'!$A$1:$O$88,15,0)),0,VLOOKUP($U$86,'TAR FIN'!$A$1:$O$88,15,0))</f>
        <v>0</v>
      </c>
      <c r="Y86" s="4">
        <f ca="1">('TUSD BE'!$AM$10+'TUSD BF'!$AM$10+'TUSD CVA'!$AM$10)*1</f>
        <v>37.721850071081427</v>
      </c>
      <c r="Z86" s="4"/>
      <c r="AA86" s="4"/>
      <c r="AB86" s="4">
        <f>$K$86*$V$86</f>
        <v>8792.4</v>
      </c>
      <c r="AC86" s="4">
        <f>$M$86*$W$86</f>
        <v>0</v>
      </c>
      <c r="AD86" s="4">
        <f>$O$86*$X$86</f>
        <v>0</v>
      </c>
      <c r="AE86" s="4">
        <f ca="1">$K$86*$Y$86</f>
        <v>9619.0717681257647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35</v>
      </c>
      <c r="C87" s="3" t="s">
        <v>39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44501</v>
      </c>
      <c r="J87" s="4">
        <v>21149</v>
      </c>
      <c r="K87" s="4">
        <v>21149</v>
      </c>
      <c r="L87" s="4">
        <v>0</v>
      </c>
      <c r="M87" s="4">
        <v>0</v>
      </c>
      <c r="N87" s="4">
        <v>0</v>
      </c>
      <c r="O87" s="4">
        <v>0</v>
      </c>
      <c r="P87" s="4">
        <v>69</v>
      </c>
      <c r="Q87" s="3" t="s">
        <v>26</v>
      </c>
      <c r="R87" s="3">
        <v>0</v>
      </c>
      <c r="S87" s="4">
        <v>46</v>
      </c>
      <c r="T87" s="4">
        <v>0</v>
      </c>
      <c r="U87" s="4">
        <v>0</v>
      </c>
      <c r="V87" s="4">
        <f>IF(ISERROR(VLOOKUP($S$87,'TAR FIN'!$A$1:$O$88,15,0)),0,VLOOKUP($S$87,'TAR FIN'!$A$1:$O$88,15,0))</f>
        <v>34.479999999999997</v>
      </c>
      <c r="W87" s="4">
        <f>IF(ISERROR(VLOOKUP($T$87,'TAR FIN'!$A$1:$O$88,15,0)),0,VLOOKUP($T$87,'TAR FIN'!$A$1:$O$88,15,0))</f>
        <v>0</v>
      </c>
      <c r="X87" s="4">
        <f>IF(ISERROR(VLOOKUP($U$87,'TAR FIN'!$A$1:$O$88,15,0)),0,VLOOKUP($U$87,'TAR FIN'!$A$1:$O$88,15,0))</f>
        <v>0</v>
      </c>
      <c r="Y87" s="4">
        <f ca="1">('TUSD BE'!$AM$10+'TUSD BF'!$AM$10+'TUSD CVA'!$AM$10)*1</f>
        <v>37.721850071081427</v>
      </c>
      <c r="Z87" s="4"/>
      <c r="AA87" s="4"/>
      <c r="AB87" s="4">
        <f>$K$87*$V$87</f>
        <v>729217.5199999999</v>
      </c>
      <c r="AC87" s="4">
        <f>$M$87*$W$87</f>
        <v>0</v>
      </c>
      <c r="AD87" s="4">
        <f>$O$87*$X$87</f>
        <v>0</v>
      </c>
      <c r="AE87" s="4">
        <f ca="1">$K$87*$Y$87</f>
        <v>797779.40715330106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28</v>
      </c>
      <c r="B88" s="3" t="s">
        <v>35</v>
      </c>
      <c r="C88" s="3" t="s">
        <v>39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130</v>
      </c>
      <c r="K88" s="4">
        <v>130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3" t="s">
        <v>26</v>
      </c>
      <c r="R88" s="3">
        <v>0</v>
      </c>
      <c r="S88" s="4">
        <v>46</v>
      </c>
      <c r="T88" s="4">
        <v>0</v>
      </c>
      <c r="U88" s="4">
        <v>0</v>
      </c>
      <c r="V88" s="4">
        <f>IF(ISERROR(VLOOKUP($S$88,'TAR FIN'!$A$1:$O$88,15,0)),0,VLOOKUP($S$88,'TAR FIN'!$A$1:$O$88,15,0))</f>
        <v>34.479999999999997</v>
      </c>
      <c r="W88" s="4">
        <f>IF(ISERROR(VLOOKUP($T$88,'TAR FIN'!$A$1:$O$88,15,0)),0,VLOOKUP($T$88,'TAR FIN'!$A$1:$O$88,15,0))</f>
        <v>0</v>
      </c>
      <c r="X88" s="4">
        <f>IF(ISERROR(VLOOKUP($U$88,'TAR FIN'!$A$1:$O$88,15,0)),0,VLOOKUP($U$88,'TAR FIN'!$A$1:$O$88,15,0))</f>
        <v>0</v>
      </c>
      <c r="Y88" s="4">
        <f ca="1">('TUSD BE'!$AM$10+'TUSD BF'!$AM$10+'TUSD CVA'!$AM$10)*1</f>
        <v>37.721850071081427</v>
      </c>
      <c r="Z88" s="4"/>
      <c r="AA88" s="4"/>
      <c r="AB88" s="4">
        <f>$K$88*$V$88</f>
        <v>4482.3999999999996</v>
      </c>
      <c r="AC88" s="4">
        <f>$M$88*$W$88</f>
        <v>0</v>
      </c>
      <c r="AD88" s="4">
        <f>$O$88*$X$88</f>
        <v>0</v>
      </c>
      <c r="AE88" s="4">
        <f ca="1">$K$88*$Y$88</f>
        <v>4903.8405092405856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21</v>
      </c>
      <c r="B89" s="3" t="s">
        <v>35</v>
      </c>
      <c r="C89" s="3" t="s">
        <v>39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21322</v>
      </c>
      <c r="K89" s="4">
        <v>21322</v>
      </c>
      <c r="L89" s="4">
        <v>0</v>
      </c>
      <c r="M89" s="4">
        <v>0</v>
      </c>
      <c r="N89" s="4">
        <v>0</v>
      </c>
      <c r="O89" s="4">
        <v>0</v>
      </c>
      <c r="P89" s="4">
        <v>69</v>
      </c>
      <c r="Q89" s="3" t="s">
        <v>26</v>
      </c>
      <c r="R89" s="3">
        <v>0</v>
      </c>
      <c r="S89" s="4">
        <v>46</v>
      </c>
      <c r="T89" s="4">
        <v>0</v>
      </c>
      <c r="U89" s="4">
        <v>0</v>
      </c>
      <c r="V89" s="4">
        <f>IF(ISERROR(VLOOKUP($S$89,'TAR FIN'!$A$1:$O$88,15,0)),0,VLOOKUP($S$89,'TAR FIN'!$A$1:$O$88,15,0))</f>
        <v>34.479999999999997</v>
      </c>
      <c r="W89" s="4">
        <f>IF(ISERROR(VLOOKUP($T$89,'TAR FIN'!$A$1:$O$88,15,0)),0,VLOOKUP($T$89,'TAR FIN'!$A$1:$O$88,15,0))</f>
        <v>0</v>
      </c>
      <c r="X89" s="4">
        <f>IF(ISERROR(VLOOKUP($U$89,'TAR FIN'!$A$1:$O$88,15,0)),0,VLOOKUP($U$89,'TAR FIN'!$A$1:$O$88,15,0))</f>
        <v>0</v>
      </c>
      <c r="Y89" s="4">
        <f ca="1">('TUSD BE'!$AM$10+'TUSD BF'!$AM$10+'TUSD CVA'!$AM$10)*1</f>
        <v>37.721850071081427</v>
      </c>
      <c r="Z89" s="4"/>
      <c r="AA89" s="4"/>
      <c r="AB89" s="4">
        <f>$K$89*$V$89</f>
        <v>735182.55999999994</v>
      </c>
      <c r="AC89" s="4">
        <f>$M$89*$W$89</f>
        <v>0</v>
      </c>
      <c r="AD89" s="4">
        <f>$O$89*$X$89</f>
        <v>0</v>
      </c>
      <c r="AE89" s="4">
        <f ca="1">$K$89*$Y$89</f>
        <v>804305.28721559816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28</v>
      </c>
      <c r="B90" s="3" t="s">
        <v>35</v>
      </c>
      <c r="C90" s="3" t="s">
        <v>39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44531</v>
      </c>
      <c r="J90" s="4">
        <v>130</v>
      </c>
      <c r="K90" s="4">
        <v>130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3" t="s">
        <v>26</v>
      </c>
      <c r="R90" s="3">
        <v>0</v>
      </c>
      <c r="S90" s="4">
        <v>46</v>
      </c>
      <c r="T90" s="4">
        <v>0</v>
      </c>
      <c r="U90" s="4">
        <v>0</v>
      </c>
      <c r="V90" s="4">
        <f>IF(ISERROR(VLOOKUP($S$90,'TAR FIN'!$A$1:$O$88,15,0)),0,VLOOKUP($S$90,'TAR FIN'!$A$1:$O$88,15,0))</f>
        <v>34.479999999999997</v>
      </c>
      <c r="W90" s="4">
        <f>IF(ISERROR(VLOOKUP($T$90,'TAR FIN'!$A$1:$O$88,15,0)),0,VLOOKUP($T$90,'TAR FIN'!$A$1:$O$88,15,0))</f>
        <v>0</v>
      </c>
      <c r="X90" s="4">
        <f>IF(ISERROR(VLOOKUP($U$90,'TAR FIN'!$A$1:$O$88,15,0)),0,VLOOKUP($U$90,'TAR FIN'!$A$1:$O$88,15,0))</f>
        <v>0</v>
      </c>
      <c r="Y90" s="4">
        <f ca="1">('TUSD BE'!$AM$10+'TUSD BF'!$AM$10+'TUSD CVA'!$AM$10)*1</f>
        <v>37.721850071081427</v>
      </c>
      <c r="Z90" s="4"/>
      <c r="AA90" s="4"/>
      <c r="AB90" s="4">
        <f>$K$90*$V$90</f>
        <v>4482.3999999999996</v>
      </c>
      <c r="AC90" s="4">
        <f>$M$90*$W$90</f>
        <v>0</v>
      </c>
      <c r="AD90" s="4">
        <f>$O$90*$X$90</f>
        <v>0</v>
      </c>
      <c r="AE90" s="4">
        <f ca="1">$K$90*$Y$90</f>
        <v>4903.8405092405856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21</v>
      </c>
      <c r="B91" s="3" t="s">
        <v>35</v>
      </c>
      <c r="C91" s="3" t="s">
        <v>39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44562</v>
      </c>
      <c r="J91" s="4">
        <v>21350</v>
      </c>
      <c r="K91" s="4">
        <v>21350</v>
      </c>
      <c r="L91" s="4">
        <v>0</v>
      </c>
      <c r="M91" s="4">
        <v>0</v>
      </c>
      <c r="N91" s="4">
        <v>0</v>
      </c>
      <c r="O91" s="4">
        <v>0</v>
      </c>
      <c r="P91" s="4">
        <v>70</v>
      </c>
      <c r="Q91" s="3" t="s">
        <v>26</v>
      </c>
      <c r="R91" s="3">
        <v>0</v>
      </c>
      <c r="S91" s="4">
        <v>46</v>
      </c>
      <c r="T91" s="4">
        <v>0</v>
      </c>
      <c r="U91" s="4">
        <v>0</v>
      </c>
      <c r="V91" s="4">
        <f>IF(ISERROR(VLOOKUP($S$91,'TAR FIN'!$A$1:$O$88,15,0)),0,VLOOKUP($S$91,'TAR FIN'!$A$1:$O$88,15,0))</f>
        <v>34.479999999999997</v>
      </c>
      <c r="W91" s="4">
        <f>IF(ISERROR(VLOOKUP($T$91,'TAR FIN'!$A$1:$O$88,15,0)),0,VLOOKUP($T$91,'TAR FIN'!$A$1:$O$88,15,0))</f>
        <v>0</v>
      </c>
      <c r="X91" s="4">
        <f>IF(ISERROR(VLOOKUP($U$91,'TAR FIN'!$A$1:$O$88,15,0)),0,VLOOKUP($U$91,'TAR FIN'!$A$1:$O$88,15,0))</f>
        <v>0</v>
      </c>
      <c r="Y91" s="4">
        <f ca="1">('TUSD BE'!$AM$10+'TUSD BF'!$AM$10+'TUSD CVA'!$AM$10)*1</f>
        <v>37.721850071081427</v>
      </c>
      <c r="Z91" s="4"/>
      <c r="AA91" s="4"/>
      <c r="AB91" s="4">
        <f>$K$91*$V$91</f>
        <v>736147.99999999988</v>
      </c>
      <c r="AC91" s="4">
        <f>$M$91*$W$91</f>
        <v>0</v>
      </c>
      <c r="AD91" s="4">
        <f>$O$91*$X$91</f>
        <v>0</v>
      </c>
      <c r="AE91" s="4">
        <f ca="1">$K$91*$Y$91</f>
        <v>805361.49901758844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28</v>
      </c>
      <c r="B92" s="3" t="s">
        <v>35</v>
      </c>
      <c r="C92" s="3" t="s">
        <v>39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44562</v>
      </c>
      <c r="J92" s="4">
        <v>130</v>
      </c>
      <c r="K92" s="4">
        <v>130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3" t="s">
        <v>26</v>
      </c>
      <c r="R92" s="3">
        <v>0</v>
      </c>
      <c r="S92" s="4">
        <v>46</v>
      </c>
      <c r="T92" s="4">
        <v>0</v>
      </c>
      <c r="U92" s="4">
        <v>0</v>
      </c>
      <c r="V92" s="4">
        <f>IF(ISERROR(VLOOKUP($S$92,'TAR FIN'!$A$1:$O$88,15,0)),0,VLOOKUP($S$92,'TAR FIN'!$A$1:$O$88,15,0))</f>
        <v>34.479999999999997</v>
      </c>
      <c r="W92" s="4">
        <f>IF(ISERROR(VLOOKUP($T$92,'TAR FIN'!$A$1:$O$88,15,0)),0,VLOOKUP($T$92,'TAR FIN'!$A$1:$O$88,15,0))</f>
        <v>0</v>
      </c>
      <c r="X92" s="4">
        <f>IF(ISERROR(VLOOKUP($U$92,'TAR FIN'!$A$1:$O$88,15,0)),0,VLOOKUP($U$92,'TAR FIN'!$A$1:$O$88,15,0))</f>
        <v>0</v>
      </c>
      <c r="Y92" s="4">
        <f ca="1">('TUSD BE'!$AM$10+'TUSD BF'!$AM$10+'TUSD CVA'!$AM$10)*1</f>
        <v>37.721850071081427</v>
      </c>
      <c r="Z92" s="4"/>
      <c r="AA92" s="4"/>
      <c r="AB92" s="4">
        <f>$K$92*$V$92</f>
        <v>4482.3999999999996</v>
      </c>
      <c r="AC92" s="4">
        <f>$M$92*$W$92</f>
        <v>0</v>
      </c>
      <c r="AD92" s="4">
        <f>$O$92*$X$92</f>
        <v>0</v>
      </c>
      <c r="AE92" s="4">
        <f ca="1">$K$92*$Y$92</f>
        <v>4903.8405092405856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21</v>
      </c>
      <c r="B93" s="3" t="s">
        <v>35</v>
      </c>
      <c r="C93" s="3" t="s">
        <v>39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44593</v>
      </c>
      <c r="J93" s="4">
        <v>21312</v>
      </c>
      <c r="K93" s="4">
        <v>21312</v>
      </c>
      <c r="L93" s="4">
        <v>0</v>
      </c>
      <c r="M93" s="4">
        <v>0</v>
      </c>
      <c r="N93" s="4">
        <v>0</v>
      </c>
      <c r="O93" s="4">
        <v>0</v>
      </c>
      <c r="P93" s="4">
        <v>69</v>
      </c>
      <c r="Q93" s="3" t="s">
        <v>26</v>
      </c>
      <c r="R93" s="3">
        <v>0</v>
      </c>
      <c r="S93" s="4">
        <v>46</v>
      </c>
      <c r="T93" s="4">
        <v>0</v>
      </c>
      <c r="U93" s="4">
        <v>0</v>
      </c>
      <c r="V93" s="4">
        <f>IF(ISERROR(VLOOKUP($S$93,'TAR FIN'!$A$1:$O$88,15,0)),0,VLOOKUP($S$93,'TAR FIN'!$A$1:$O$88,15,0))</f>
        <v>34.479999999999997</v>
      </c>
      <c r="W93" s="4">
        <f>IF(ISERROR(VLOOKUP($T$93,'TAR FIN'!$A$1:$O$88,15,0)),0,VLOOKUP($T$93,'TAR FIN'!$A$1:$O$88,15,0))</f>
        <v>0</v>
      </c>
      <c r="X93" s="4">
        <f>IF(ISERROR(VLOOKUP($U$93,'TAR FIN'!$A$1:$O$88,15,0)),0,VLOOKUP($U$93,'TAR FIN'!$A$1:$O$88,15,0))</f>
        <v>0</v>
      </c>
      <c r="Y93" s="4">
        <f ca="1">('TUSD BE'!$AM$10+'TUSD BF'!$AM$10+'TUSD CVA'!$AM$10)*1</f>
        <v>37.721850071081427</v>
      </c>
      <c r="Z93" s="4"/>
      <c r="AA93" s="4"/>
      <c r="AB93" s="4">
        <f>$K$93*$V$93</f>
        <v>734837.75999999989</v>
      </c>
      <c r="AC93" s="4">
        <f>$M$93*$W$93</f>
        <v>0</v>
      </c>
      <c r="AD93" s="4">
        <f>$O$93*$X$93</f>
        <v>0</v>
      </c>
      <c r="AE93" s="4">
        <f ca="1">$K$93*$Y$93</f>
        <v>803928.06871488737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28</v>
      </c>
      <c r="B94" s="3" t="s">
        <v>35</v>
      </c>
      <c r="C94" s="3" t="s">
        <v>39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44593</v>
      </c>
      <c r="J94" s="4">
        <v>130</v>
      </c>
      <c r="K94" s="4">
        <v>130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3" t="s">
        <v>26</v>
      </c>
      <c r="R94" s="3">
        <v>0</v>
      </c>
      <c r="S94" s="4">
        <v>46</v>
      </c>
      <c r="T94" s="4">
        <v>0</v>
      </c>
      <c r="U94" s="4">
        <v>0</v>
      </c>
      <c r="V94" s="4">
        <f>IF(ISERROR(VLOOKUP($S$94,'TAR FIN'!$A$1:$O$88,15,0)),0,VLOOKUP($S$94,'TAR FIN'!$A$1:$O$88,15,0))</f>
        <v>34.479999999999997</v>
      </c>
      <c r="W94" s="4">
        <f>IF(ISERROR(VLOOKUP($T$94,'TAR FIN'!$A$1:$O$88,15,0)),0,VLOOKUP($T$94,'TAR FIN'!$A$1:$O$88,15,0))</f>
        <v>0</v>
      </c>
      <c r="X94" s="4">
        <f>IF(ISERROR(VLOOKUP($U$94,'TAR FIN'!$A$1:$O$88,15,0)),0,VLOOKUP($U$94,'TAR FIN'!$A$1:$O$88,15,0))</f>
        <v>0</v>
      </c>
      <c r="Y94" s="4">
        <f ca="1">('TUSD BE'!$AM$10+'TUSD BF'!$AM$10+'TUSD CVA'!$AM$10)*1</f>
        <v>37.721850071081427</v>
      </c>
      <c r="Z94" s="4"/>
      <c r="AA94" s="4"/>
      <c r="AB94" s="4">
        <f>$K$94*$V$94</f>
        <v>4482.3999999999996</v>
      </c>
      <c r="AC94" s="4">
        <f>$M$94*$W$94</f>
        <v>0</v>
      </c>
      <c r="AD94" s="4">
        <f>$O$94*$X$94</f>
        <v>0</v>
      </c>
      <c r="AE94" s="4">
        <f ca="1">$K$94*$Y$94</f>
        <v>4903.8405092405856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35</v>
      </c>
      <c r="C95" s="3" t="s">
        <v>39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44621</v>
      </c>
      <c r="J95" s="4">
        <v>21284</v>
      </c>
      <c r="K95" s="4">
        <v>21284</v>
      </c>
      <c r="L95" s="4">
        <v>0</v>
      </c>
      <c r="M95" s="4">
        <v>0</v>
      </c>
      <c r="N95" s="4">
        <v>0</v>
      </c>
      <c r="O95" s="4">
        <v>0</v>
      </c>
      <c r="P95" s="4">
        <v>70</v>
      </c>
      <c r="Q95" s="3" t="s">
        <v>26</v>
      </c>
      <c r="R95" s="3">
        <v>0</v>
      </c>
      <c r="S95" s="4">
        <v>46</v>
      </c>
      <c r="T95" s="4">
        <v>0</v>
      </c>
      <c r="U95" s="4">
        <v>0</v>
      </c>
      <c r="V95" s="4">
        <f>IF(ISERROR(VLOOKUP($S$95,'TAR FIN'!$A$1:$O$88,15,0)),0,VLOOKUP($S$95,'TAR FIN'!$A$1:$O$88,15,0))</f>
        <v>34.479999999999997</v>
      </c>
      <c r="W95" s="4">
        <f>IF(ISERROR(VLOOKUP($T$95,'TAR FIN'!$A$1:$O$88,15,0)),0,VLOOKUP($T$95,'TAR FIN'!$A$1:$O$88,15,0))</f>
        <v>0</v>
      </c>
      <c r="X95" s="4">
        <f>IF(ISERROR(VLOOKUP($U$95,'TAR FIN'!$A$1:$O$88,15,0)),0,VLOOKUP($U$95,'TAR FIN'!$A$1:$O$88,15,0))</f>
        <v>0</v>
      </c>
      <c r="Y95" s="4">
        <f ca="1">('TUSD BE'!$AM$10+'TUSD BF'!$AM$10+'TUSD CVA'!$AM$10)*1</f>
        <v>37.721850071081427</v>
      </c>
      <c r="Z95" s="4"/>
      <c r="AA95" s="4"/>
      <c r="AB95" s="4">
        <f>$K$95*$V$95</f>
        <v>733872.32</v>
      </c>
      <c r="AC95" s="4">
        <f>$M$95*$W$95</f>
        <v>0</v>
      </c>
      <c r="AD95" s="4">
        <f>$O$95*$X$95</f>
        <v>0</v>
      </c>
      <c r="AE95" s="4">
        <f ca="1">$K$95*$Y$95</f>
        <v>802871.85691289708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28</v>
      </c>
      <c r="B96" s="3" t="s">
        <v>35</v>
      </c>
      <c r="C96" s="3" t="s">
        <v>39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44621</v>
      </c>
      <c r="J96" s="4">
        <v>130</v>
      </c>
      <c r="K96" s="4">
        <v>130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3" t="s">
        <v>26</v>
      </c>
      <c r="R96" s="3">
        <v>0</v>
      </c>
      <c r="S96" s="4">
        <v>46</v>
      </c>
      <c r="T96" s="4">
        <v>0</v>
      </c>
      <c r="U96" s="4">
        <v>0</v>
      </c>
      <c r="V96" s="4">
        <f>IF(ISERROR(VLOOKUP($S$96,'TAR FIN'!$A$1:$O$88,15,0)),0,VLOOKUP($S$96,'TAR FIN'!$A$1:$O$88,15,0))</f>
        <v>34.479999999999997</v>
      </c>
      <c r="W96" s="4">
        <f>IF(ISERROR(VLOOKUP($T$96,'TAR FIN'!$A$1:$O$88,15,0)),0,VLOOKUP($T$96,'TAR FIN'!$A$1:$O$88,15,0))</f>
        <v>0</v>
      </c>
      <c r="X96" s="4">
        <f>IF(ISERROR(VLOOKUP($U$96,'TAR FIN'!$A$1:$O$88,15,0)),0,VLOOKUP($U$96,'TAR FIN'!$A$1:$O$88,15,0))</f>
        <v>0</v>
      </c>
      <c r="Y96" s="4">
        <f ca="1">('TUSD BE'!$AM$10+'TUSD BF'!$AM$10+'TUSD CVA'!$AM$10)*1</f>
        <v>37.721850071081427</v>
      </c>
      <c r="Z96" s="4"/>
      <c r="AA96" s="4"/>
      <c r="AB96" s="4">
        <f>$K$96*$V$96</f>
        <v>4482.3999999999996</v>
      </c>
      <c r="AC96" s="4">
        <f>$M$96*$W$96</f>
        <v>0</v>
      </c>
      <c r="AD96" s="4">
        <f>$O$96*$X$96</f>
        <v>0</v>
      </c>
      <c r="AE96" s="4">
        <f ca="1">$K$96*$Y$96</f>
        <v>4903.8405092405856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35</v>
      </c>
      <c r="C97" s="3" t="s">
        <v>39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44652</v>
      </c>
      <c r="J97" s="4">
        <v>21330</v>
      </c>
      <c r="K97" s="4">
        <v>21330</v>
      </c>
      <c r="L97" s="4">
        <v>0</v>
      </c>
      <c r="M97" s="4">
        <v>0</v>
      </c>
      <c r="N97" s="4">
        <v>0</v>
      </c>
      <c r="O97" s="4">
        <v>0</v>
      </c>
      <c r="P97" s="4">
        <v>70</v>
      </c>
      <c r="Q97" s="3" t="s">
        <v>26</v>
      </c>
      <c r="R97" s="3">
        <v>0</v>
      </c>
      <c r="S97" s="4">
        <v>46</v>
      </c>
      <c r="T97" s="4">
        <v>0</v>
      </c>
      <c r="U97" s="4">
        <v>0</v>
      </c>
      <c r="V97" s="4">
        <f>IF(ISERROR(VLOOKUP($S$97,'TAR FIN'!$A$1:$O$88,15,0)),0,VLOOKUP($S$97,'TAR FIN'!$A$1:$O$88,15,0))</f>
        <v>34.479999999999997</v>
      </c>
      <c r="W97" s="4">
        <f>IF(ISERROR(VLOOKUP($T$97,'TAR FIN'!$A$1:$O$88,15,0)),0,VLOOKUP($T$97,'TAR FIN'!$A$1:$O$88,15,0))</f>
        <v>0</v>
      </c>
      <c r="X97" s="4">
        <f>IF(ISERROR(VLOOKUP($U$97,'TAR FIN'!$A$1:$O$88,15,0)),0,VLOOKUP($U$97,'TAR FIN'!$A$1:$O$88,15,0))</f>
        <v>0</v>
      </c>
      <c r="Y97" s="4">
        <f ca="1">('TUSD BE'!$AM$10+'TUSD BF'!$AM$10+'TUSD CVA'!$AM$10)*1</f>
        <v>37.721850071081427</v>
      </c>
      <c r="Z97" s="4"/>
      <c r="AA97" s="4"/>
      <c r="AB97" s="4">
        <f>$K$97*$V$97</f>
        <v>735458.39999999991</v>
      </c>
      <c r="AC97" s="4">
        <f>$M$97*$W$97</f>
        <v>0</v>
      </c>
      <c r="AD97" s="4">
        <f>$O$97*$X$97</f>
        <v>0</v>
      </c>
      <c r="AE97" s="4">
        <f ca="1">$K$97*$Y$97</f>
        <v>804607.06201616686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28</v>
      </c>
      <c r="B98" s="3" t="s">
        <v>35</v>
      </c>
      <c r="C98" s="3" t="s">
        <v>39</v>
      </c>
      <c r="D98" s="3" t="s">
        <v>34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44652</v>
      </c>
      <c r="J98" s="4">
        <v>130</v>
      </c>
      <c r="K98" s="4">
        <v>130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3" t="s">
        <v>26</v>
      </c>
      <c r="R98" s="3">
        <v>0</v>
      </c>
      <c r="S98" s="4">
        <v>46</v>
      </c>
      <c r="T98" s="4">
        <v>0</v>
      </c>
      <c r="U98" s="4">
        <v>0</v>
      </c>
      <c r="V98" s="4">
        <f>IF(ISERROR(VLOOKUP($S$98,'TAR FIN'!$A$1:$O$88,15,0)),0,VLOOKUP($S$98,'TAR FIN'!$A$1:$O$88,15,0))</f>
        <v>34.479999999999997</v>
      </c>
      <c r="W98" s="4">
        <f>IF(ISERROR(VLOOKUP($T$98,'TAR FIN'!$A$1:$O$88,15,0)),0,VLOOKUP($T$98,'TAR FIN'!$A$1:$O$88,15,0))</f>
        <v>0</v>
      </c>
      <c r="X98" s="4">
        <f>IF(ISERROR(VLOOKUP($U$98,'TAR FIN'!$A$1:$O$88,15,0)),0,VLOOKUP($U$98,'TAR FIN'!$A$1:$O$88,15,0))</f>
        <v>0</v>
      </c>
      <c r="Y98" s="4">
        <f ca="1">('TUSD BE'!$AM$10+'TUSD BF'!$AM$10+'TUSD CVA'!$AM$10)*1</f>
        <v>37.721850071081427</v>
      </c>
      <c r="Z98" s="4"/>
      <c r="AA98" s="4"/>
      <c r="AB98" s="4">
        <f>$K$98*$V$98</f>
        <v>4482.3999999999996</v>
      </c>
      <c r="AC98" s="4">
        <f>$M$98*$W$98</f>
        <v>0</v>
      </c>
      <c r="AD98" s="4">
        <f>$O$98*$X$98</f>
        <v>0</v>
      </c>
      <c r="AE98" s="4">
        <f ca="1">$K$98*$Y$98</f>
        <v>4903.8405092405856</v>
      </c>
      <c r="AF98" s="4">
        <f>$M$98*$Z$98</f>
        <v>0</v>
      </c>
      <c r="AG98" s="4">
        <f>$O$98*$AA$98</f>
        <v>0</v>
      </c>
    </row>
    <row r="99" spans="1:33" ht="11.25" customHeight="1" x14ac:dyDescent="0.25">
      <c r="A99" s="3" t="s">
        <v>21</v>
      </c>
      <c r="B99" s="3" t="s">
        <v>35</v>
      </c>
      <c r="C99" s="3" t="s">
        <v>39</v>
      </c>
      <c r="D99" s="3" t="s">
        <v>34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21932</v>
      </c>
      <c r="K99" s="4">
        <v>21932</v>
      </c>
      <c r="L99" s="4">
        <v>0</v>
      </c>
      <c r="M99" s="4">
        <v>0</v>
      </c>
      <c r="N99" s="4">
        <v>0</v>
      </c>
      <c r="O99" s="4">
        <v>0</v>
      </c>
      <c r="P99" s="4">
        <v>70</v>
      </c>
      <c r="Q99" s="3" t="s">
        <v>26</v>
      </c>
      <c r="R99" s="3">
        <v>0</v>
      </c>
      <c r="S99" s="4">
        <v>46</v>
      </c>
      <c r="T99" s="4">
        <v>0</v>
      </c>
      <c r="U99" s="4">
        <v>0</v>
      </c>
      <c r="V99" s="4">
        <f>IF(ISERROR(VLOOKUP($S$99,'TAR FIN'!$A$1:$O$88,15,0)),0,VLOOKUP($S$99,'TAR FIN'!$A$1:$O$88,15,0))</f>
        <v>34.479999999999997</v>
      </c>
      <c r="W99" s="4">
        <f>IF(ISERROR(VLOOKUP($T$99,'TAR FIN'!$A$1:$O$88,15,0)),0,VLOOKUP($T$99,'TAR FIN'!$A$1:$O$88,15,0))</f>
        <v>0</v>
      </c>
      <c r="X99" s="4">
        <f>IF(ISERROR(VLOOKUP($U$99,'TAR FIN'!$A$1:$O$88,15,0)),0,VLOOKUP($U$99,'TAR FIN'!$A$1:$O$88,15,0))</f>
        <v>0</v>
      </c>
      <c r="Y99" s="4">
        <f ca="1">('TUSD BE'!$AM$10+'TUSD BF'!$AM$10+'TUSD CVA'!$AM$10)*1</f>
        <v>37.721850071081427</v>
      </c>
      <c r="Z99" s="4"/>
      <c r="AA99" s="4"/>
      <c r="AB99" s="4">
        <f>$K$99*$V$99</f>
        <v>756215.36</v>
      </c>
      <c r="AC99" s="4">
        <f>$M$99*$W$99</f>
        <v>0</v>
      </c>
      <c r="AD99" s="4">
        <f>$O$99*$X$99</f>
        <v>0</v>
      </c>
      <c r="AE99" s="4">
        <f ca="1">$K$99*$Y$99</f>
        <v>827315.61575895781</v>
      </c>
      <c r="AF99" s="4">
        <f>$M$99*$Z$99</f>
        <v>0</v>
      </c>
      <c r="AG99" s="4">
        <f>$O$99*$AA$99</f>
        <v>0</v>
      </c>
    </row>
    <row r="100" spans="1:33" ht="11.25" customHeight="1" x14ac:dyDescent="0.25">
      <c r="A100" s="3" t="s">
        <v>28</v>
      </c>
      <c r="B100" s="3" t="s">
        <v>35</v>
      </c>
      <c r="C100" s="3" t="s">
        <v>39</v>
      </c>
      <c r="D100" s="3" t="s">
        <v>34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44682</v>
      </c>
      <c r="J100" s="4">
        <v>240</v>
      </c>
      <c r="K100" s="4">
        <v>240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26</v>
      </c>
      <c r="R100" s="3">
        <v>0</v>
      </c>
      <c r="S100" s="4">
        <v>46</v>
      </c>
      <c r="T100" s="4">
        <v>0</v>
      </c>
      <c r="U100" s="4">
        <v>0</v>
      </c>
      <c r="V100" s="4">
        <f>IF(ISERROR(VLOOKUP($S$100,'TAR FIN'!$A$1:$O$88,15,0)),0,VLOOKUP($S$100,'TAR FIN'!$A$1:$O$88,15,0))</f>
        <v>34.479999999999997</v>
      </c>
      <c r="W100" s="4">
        <f>IF(ISERROR(VLOOKUP($T$100,'TAR FIN'!$A$1:$O$88,15,0)),0,VLOOKUP($T$100,'TAR FIN'!$A$1:$O$88,15,0))</f>
        <v>0</v>
      </c>
      <c r="X100" s="4">
        <f>IF(ISERROR(VLOOKUP($U$100,'TAR FIN'!$A$1:$O$88,15,0)),0,VLOOKUP($U$100,'TAR FIN'!$A$1:$O$88,15,0))</f>
        <v>0</v>
      </c>
      <c r="Y100" s="4">
        <f ca="1">('TUSD BE'!$AM$10+'TUSD BF'!$AM$10+'TUSD CVA'!$AM$10)*1</f>
        <v>37.721850071081427</v>
      </c>
      <c r="Z100" s="4"/>
      <c r="AA100" s="4"/>
      <c r="AB100" s="4">
        <f>$K$100*$V$100</f>
        <v>8275.1999999999989</v>
      </c>
      <c r="AC100" s="4">
        <f>$M$100*$W$100</f>
        <v>0</v>
      </c>
      <c r="AD100" s="4">
        <f>$O$100*$X$100</f>
        <v>0</v>
      </c>
      <c r="AE100" s="4">
        <f ca="1">$K$100*$Y$100</f>
        <v>9053.2440170595419</v>
      </c>
      <c r="AF100" s="4">
        <f>$M$100*$Z$100</f>
        <v>0</v>
      </c>
      <c r="AG100" s="4">
        <f>$O$100*$AA$100</f>
        <v>0</v>
      </c>
    </row>
    <row r="101" spans="1:33" ht="11.25" customHeight="1" x14ac:dyDescent="0.25">
      <c r="A101" s="3" t="s">
        <v>21</v>
      </c>
      <c r="B101" s="3" t="s">
        <v>35</v>
      </c>
      <c r="C101" s="3" t="s">
        <v>39</v>
      </c>
      <c r="D101" s="3" t="s">
        <v>34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21802</v>
      </c>
      <c r="K101" s="4">
        <v>21802</v>
      </c>
      <c r="L101" s="4">
        <v>0</v>
      </c>
      <c r="M101" s="4">
        <v>0</v>
      </c>
      <c r="N101" s="4">
        <v>0</v>
      </c>
      <c r="O101" s="4">
        <v>0</v>
      </c>
      <c r="P101" s="4">
        <v>70</v>
      </c>
      <c r="Q101" s="3" t="s">
        <v>26</v>
      </c>
      <c r="R101" s="3">
        <v>0</v>
      </c>
      <c r="S101" s="4">
        <v>46</v>
      </c>
      <c r="T101" s="4">
        <v>0</v>
      </c>
      <c r="U101" s="4">
        <v>0</v>
      </c>
      <c r="V101" s="4">
        <f>IF(ISERROR(VLOOKUP($S$101,'TAR FIN'!$A$1:$O$88,15,0)),0,VLOOKUP($S$101,'TAR FIN'!$A$1:$O$88,15,0))</f>
        <v>34.479999999999997</v>
      </c>
      <c r="W101" s="4">
        <f>IF(ISERROR(VLOOKUP($T$101,'TAR FIN'!$A$1:$O$88,15,0)),0,VLOOKUP($T$101,'TAR FIN'!$A$1:$O$88,15,0))</f>
        <v>0</v>
      </c>
      <c r="X101" s="4">
        <f>IF(ISERROR(VLOOKUP($U$101,'TAR FIN'!$A$1:$O$88,15,0)),0,VLOOKUP($U$101,'TAR FIN'!$A$1:$O$88,15,0))</f>
        <v>0</v>
      </c>
      <c r="Y101" s="4">
        <f ca="1">('TUSD BE'!$AM$10+'TUSD BF'!$AM$10+'TUSD CVA'!$AM$10)*1</f>
        <v>37.721850071081427</v>
      </c>
      <c r="Z101" s="4"/>
      <c r="AA101" s="4"/>
      <c r="AB101" s="4">
        <f>$K$101*$V$101</f>
        <v>751732.96</v>
      </c>
      <c r="AC101" s="4">
        <f>$M$101*$W$101</f>
        <v>0</v>
      </c>
      <c r="AD101" s="4">
        <f>$O$101*$X$101</f>
        <v>0</v>
      </c>
      <c r="AE101" s="4">
        <f ca="1">$K$101*$Y$101</f>
        <v>822411.77524971729</v>
      </c>
      <c r="AF101" s="4">
        <f>$M$101*$Z$101</f>
        <v>0</v>
      </c>
      <c r="AG101" s="4">
        <f>$O$101*$AA$101</f>
        <v>0</v>
      </c>
    </row>
    <row r="102" spans="1:33" ht="11.25" customHeight="1" x14ac:dyDescent="0.25">
      <c r="A102" s="3" t="s">
        <v>28</v>
      </c>
      <c r="B102" s="3" t="s">
        <v>35</v>
      </c>
      <c r="C102" s="3" t="s">
        <v>39</v>
      </c>
      <c r="D102" s="3" t="s">
        <v>34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44713</v>
      </c>
      <c r="J102" s="4">
        <v>130</v>
      </c>
      <c r="K102" s="4">
        <v>130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3" t="s">
        <v>26</v>
      </c>
      <c r="R102" s="3">
        <v>0</v>
      </c>
      <c r="S102" s="4">
        <v>46</v>
      </c>
      <c r="T102" s="4">
        <v>0</v>
      </c>
      <c r="U102" s="4">
        <v>0</v>
      </c>
      <c r="V102" s="4">
        <f>IF(ISERROR(VLOOKUP($S$102,'TAR FIN'!$A$1:$O$88,15,0)),0,VLOOKUP($S$102,'TAR FIN'!$A$1:$O$88,15,0))</f>
        <v>34.479999999999997</v>
      </c>
      <c r="W102" s="4">
        <f>IF(ISERROR(VLOOKUP($T$102,'TAR FIN'!$A$1:$O$88,15,0)),0,VLOOKUP($T$102,'TAR FIN'!$A$1:$O$88,15,0))</f>
        <v>0</v>
      </c>
      <c r="X102" s="4">
        <f>IF(ISERROR(VLOOKUP($U$102,'TAR FIN'!$A$1:$O$88,15,0)),0,VLOOKUP($U$102,'TAR FIN'!$A$1:$O$88,15,0))</f>
        <v>0</v>
      </c>
      <c r="Y102" s="4">
        <f ca="1">('TUSD BE'!$AM$10+'TUSD BF'!$AM$10+'TUSD CVA'!$AM$10)*1</f>
        <v>37.721850071081427</v>
      </c>
      <c r="Z102" s="4"/>
      <c r="AA102" s="4"/>
      <c r="AB102" s="4">
        <f>$K$102*$V$102</f>
        <v>4482.3999999999996</v>
      </c>
      <c r="AC102" s="4">
        <f>$M$102*$W$102</f>
        <v>0</v>
      </c>
      <c r="AD102" s="4">
        <f>$O$102*$X$102</f>
        <v>0</v>
      </c>
      <c r="AE102" s="4">
        <f ca="1">$K$102*$Y$102</f>
        <v>4903.8405092405856</v>
      </c>
      <c r="AF102" s="4">
        <f>$M$102*$Z$102</f>
        <v>0</v>
      </c>
      <c r="AG102" s="4">
        <f>$O$102*$AA$102</f>
        <v>0</v>
      </c>
    </row>
    <row r="103" spans="1:33" ht="11.25" customHeight="1" x14ac:dyDescent="0.25">
      <c r="A103" s="3" t="s">
        <v>21</v>
      </c>
      <c r="B103" s="3" t="s">
        <v>35</v>
      </c>
      <c r="C103" s="3" t="s">
        <v>39</v>
      </c>
      <c r="D103" s="3" t="s">
        <v>34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44743</v>
      </c>
      <c r="J103" s="4">
        <v>21750</v>
      </c>
      <c r="K103" s="4">
        <v>21750</v>
      </c>
      <c r="L103" s="4">
        <v>0</v>
      </c>
      <c r="M103" s="4">
        <v>0</v>
      </c>
      <c r="N103" s="4">
        <v>0</v>
      </c>
      <c r="O103" s="4">
        <v>0</v>
      </c>
      <c r="P103" s="4">
        <v>71</v>
      </c>
      <c r="Q103" s="3" t="s">
        <v>26</v>
      </c>
      <c r="R103" s="3">
        <v>0</v>
      </c>
      <c r="S103" s="4">
        <v>46</v>
      </c>
      <c r="T103" s="4">
        <v>0</v>
      </c>
      <c r="U103" s="4">
        <v>0</v>
      </c>
      <c r="V103" s="4">
        <f>IF(ISERROR(VLOOKUP($S$103,'TAR FIN'!$A$1:$O$88,15,0)),0,VLOOKUP($S$103,'TAR FIN'!$A$1:$O$88,15,0))</f>
        <v>34.479999999999997</v>
      </c>
      <c r="W103" s="4">
        <f>IF(ISERROR(VLOOKUP($T$103,'TAR FIN'!$A$1:$O$88,15,0)),0,VLOOKUP($T$103,'TAR FIN'!$A$1:$O$88,15,0))</f>
        <v>0</v>
      </c>
      <c r="X103" s="4">
        <f>IF(ISERROR(VLOOKUP($U$103,'TAR FIN'!$A$1:$O$88,15,0)),0,VLOOKUP($U$103,'TAR FIN'!$A$1:$O$88,15,0))</f>
        <v>0</v>
      </c>
      <c r="Y103" s="4">
        <f ca="1">('TUSD BE'!$AM$10+'TUSD BF'!$AM$10+'TUSD CVA'!$AM$10)*1</f>
        <v>37.721850071081427</v>
      </c>
      <c r="Z103" s="4"/>
      <c r="AA103" s="4"/>
      <c r="AB103" s="4">
        <f>$K$103*$V$103</f>
        <v>749939.99999999988</v>
      </c>
      <c r="AC103" s="4">
        <f>$M$103*$W$103</f>
        <v>0</v>
      </c>
      <c r="AD103" s="4">
        <f>$O$103*$X$103</f>
        <v>0</v>
      </c>
      <c r="AE103" s="4">
        <f ca="1">$K$103*$Y$103</f>
        <v>820450.23904602102</v>
      </c>
      <c r="AF103" s="4">
        <f>$M$103*$Z$103</f>
        <v>0</v>
      </c>
      <c r="AG103" s="4">
        <f>$O$103*$AA$103</f>
        <v>0</v>
      </c>
    </row>
    <row r="104" spans="1:33" ht="11.25" customHeight="1" x14ac:dyDescent="0.25">
      <c r="A104" s="3" t="s">
        <v>28</v>
      </c>
      <c r="B104" s="3" t="s">
        <v>35</v>
      </c>
      <c r="C104" s="3" t="s">
        <v>39</v>
      </c>
      <c r="D104" s="3" t="s">
        <v>34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44743</v>
      </c>
      <c r="J104" s="4">
        <v>130</v>
      </c>
      <c r="K104" s="4">
        <v>130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4">
        <v>46</v>
      </c>
      <c r="T104" s="4">
        <v>0</v>
      </c>
      <c r="U104" s="4">
        <v>0</v>
      </c>
      <c r="V104" s="4">
        <f>IF(ISERROR(VLOOKUP($S$104,'TAR FIN'!$A$1:$O$88,15,0)),0,VLOOKUP($S$104,'TAR FIN'!$A$1:$O$88,15,0))</f>
        <v>34.479999999999997</v>
      </c>
      <c r="W104" s="4">
        <f>IF(ISERROR(VLOOKUP($T$104,'TAR FIN'!$A$1:$O$88,15,0)),0,VLOOKUP($T$104,'TAR FIN'!$A$1:$O$88,15,0))</f>
        <v>0</v>
      </c>
      <c r="X104" s="4">
        <f>IF(ISERROR(VLOOKUP($U$104,'TAR FIN'!$A$1:$O$88,15,0)),0,VLOOKUP($U$104,'TAR FIN'!$A$1:$O$88,15,0))</f>
        <v>0</v>
      </c>
      <c r="Y104" s="4">
        <f ca="1">('TUSD BE'!$AM$10+'TUSD BF'!$AM$10+'TUSD CVA'!$AM$10)*1</f>
        <v>37.721850071081427</v>
      </c>
      <c r="Z104" s="4"/>
      <c r="AA104" s="4"/>
      <c r="AB104" s="4">
        <f>$K$104*$V$104</f>
        <v>4482.3999999999996</v>
      </c>
      <c r="AC104" s="4">
        <f>$M$104*$W$104</f>
        <v>0</v>
      </c>
      <c r="AD104" s="4">
        <f>$O$104*$X$104</f>
        <v>0</v>
      </c>
      <c r="AE104" s="4">
        <f ca="1">$K$104*$Y$104</f>
        <v>4903.8405092405856</v>
      </c>
      <c r="AF104" s="4">
        <f>$M$104*$Z$104</f>
        <v>0</v>
      </c>
      <c r="AG104" s="4">
        <f>$O$104*$AA$104</f>
        <v>0</v>
      </c>
    </row>
    <row r="105" spans="1:33" ht="11.25" customHeight="1" x14ac:dyDescent="0.25">
      <c r="A105" s="3" t="s">
        <v>55</v>
      </c>
      <c r="B105" s="3" t="s">
        <v>35</v>
      </c>
      <c r="C105" s="3" t="s">
        <v>39</v>
      </c>
      <c r="D105" s="3" t="s">
        <v>34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44774</v>
      </c>
      <c r="J105" s="4">
        <v>21750</v>
      </c>
      <c r="K105" s="4">
        <v>21750</v>
      </c>
      <c r="L105" s="4">
        <v>0</v>
      </c>
      <c r="M105" s="4">
        <v>0</v>
      </c>
      <c r="N105" s="4">
        <v>0</v>
      </c>
      <c r="O105" s="4">
        <v>0</v>
      </c>
      <c r="P105" s="4">
        <v>71</v>
      </c>
      <c r="Q105" s="3" t="s">
        <v>26</v>
      </c>
      <c r="R105" s="3">
        <v>0</v>
      </c>
      <c r="S105" s="4">
        <v>46</v>
      </c>
      <c r="T105" s="4">
        <v>0</v>
      </c>
      <c r="U105" s="4">
        <v>0</v>
      </c>
      <c r="V105" s="4">
        <f>IF(ISERROR(VLOOKUP($S$105,'TAR FIN'!$A$1:$O$88,15,0)),0,VLOOKUP($S$105,'TAR FIN'!$A$1:$O$88,15,0))</f>
        <v>34.479999999999997</v>
      </c>
      <c r="W105" s="4">
        <f>IF(ISERROR(VLOOKUP($T$105,'TAR FIN'!$A$1:$O$88,15,0)),0,VLOOKUP($T$105,'TAR FIN'!$A$1:$O$88,15,0))</f>
        <v>0</v>
      </c>
      <c r="X105" s="4">
        <f>IF(ISERROR(VLOOKUP($U$105,'TAR FIN'!$A$1:$O$88,15,0)),0,VLOOKUP($U$105,'TAR FIN'!$A$1:$O$88,15,0))</f>
        <v>0</v>
      </c>
      <c r="Y105" s="4">
        <f ca="1">('TUSD BE'!$AM$10+'TUSD BF'!$AM$10+'TUSD CVA'!$AM$10)*1</f>
        <v>37.721850071081427</v>
      </c>
      <c r="Z105" s="4"/>
      <c r="AA105" s="4"/>
      <c r="AB105" s="4">
        <f>$K$105*$V$105</f>
        <v>749939.99999999988</v>
      </c>
      <c r="AC105" s="4">
        <f>$M$105*$W$105</f>
        <v>0</v>
      </c>
      <c r="AD105" s="4">
        <f>$O$105*$X$105</f>
        <v>0</v>
      </c>
      <c r="AE105" s="4">
        <f ca="1">$K$105*$Y$105</f>
        <v>820450.23904602102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55</v>
      </c>
      <c r="B106" s="3" t="s">
        <v>35</v>
      </c>
      <c r="C106" s="3" t="s">
        <v>39</v>
      </c>
      <c r="D106" s="3" t="s">
        <v>34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44774</v>
      </c>
      <c r="J106" s="4">
        <v>130</v>
      </c>
      <c r="K106" s="4">
        <v>130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26</v>
      </c>
      <c r="R106" s="3">
        <v>0</v>
      </c>
      <c r="S106" s="4">
        <v>46</v>
      </c>
      <c r="T106" s="4">
        <v>0</v>
      </c>
      <c r="U106" s="4">
        <v>0</v>
      </c>
      <c r="V106" s="4">
        <f>IF(ISERROR(VLOOKUP($S$106,'TAR FIN'!$A$1:$O$88,15,0)),0,VLOOKUP($S$106,'TAR FIN'!$A$1:$O$88,15,0))</f>
        <v>34.479999999999997</v>
      </c>
      <c r="W106" s="4">
        <f>IF(ISERROR(VLOOKUP($T$106,'TAR FIN'!$A$1:$O$88,15,0)),0,VLOOKUP($T$106,'TAR FIN'!$A$1:$O$88,15,0))</f>
        <v>0</v>
      </c>
      <c r="X106" s="4">
        <f>IF(ISERROR(VLOOKUP($U$106,'TAR FIN'!$A$1:$O$88,15,0)),0,VLOOKUP($U$106,'TAR FIN'!$A$1:$O$88,15,0))</f>
        <v>0</v>
      </c>
      <c r="Y106" s="4">
        <f ca="1">('TUSD BE'!$AM$10+'TUSD BF'!$AM$10+'TUSD CVA'!$AM$10)*1</f>
        <v>37.721850071081427</v>
      </c>
      <c r="Z106" s="4"/>
      <c r="AA106" s="4"/>
      <c r="AB106" s="4">
        <f>$K$106*$V$106</f>
        <v>4482.3999999999996</v>
      </c>
      <c r="AC106" s="4">
        <f>$M$106*$W$106</f>
        <v>0</v>
      </c>
      <c r="AD106" s="4">
        <f>$O$106*$X$106</f>
        <v>0</v>
      </c>
      <c r="AE106" s="4">
        <f ca="1">$K$106*$Y$106</f>
        <v>4903.8405092405856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21</v>
      </c>
      <c r="B107" s="3" t="s">
        <v>35</v>
      </c>
      <c r="C107" s="3" t="s">
        <v>39</v>
      </c>
      <c r="D107" s="3" t="s">
        <v>34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44440</v>
      </c>
      <c r="J107" s="4">
        <v>0</v>
      </c>
      <c r="K107" s="4">
        <v>0</v>
      </c>
      <c r="L107" s="4">
        <v>84.843999999999994</v>
      </c>
      <c r="M107" s="4">
        <v>84.843999999999994</v>
      </c>
      <c r="N107" s="4">
        <v>84.843999999999994</v>
      </c>
      <c r="O107" s="4">
        <v>84.843999999999994</v>
      </c>
      <c r="P107" s="4">
        <v>0</v>
      </c>
      <c r="Q107" s="3" t="s">
        <v>26</v>
      </c>
      <c r="R107" s="3">
        <v>0</v>
      </c>
      <c r="S107" s="4">
        <v>0</v>
      </c>
      <c r="T107" s="4">
        <v>35</v>
      </c>
      <c r="U107" s="4">
        <v>70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2676.16</v>
      </c>
      <c r="X107" s="4">
        <f>IF(ISERROR(VLOOKUP($U$107,'TAR FIN'!$A$1:$O$88,15,0)),0,VLOOKUP($U$107,'TAR FIN'!$A$1:$O$88,15,0))</f>
        <v>150.26</v>
      </c>
      <c r="Y107" s="4"/>
      <c r="Z107" s="4">
        <f ca="1">('TUSD BE'!$AM$11+'TUSD BF'!$AM$11+'TUSD CVA'!$AM$11)*1</f>
        <v>2626.6795212185111</v>
      </c>
      <c r="AA107" s="4">
        <f>('TE BE'!$AB$5+'TE BF'!$AB$5+'TE CVA'!$AB$5)*1</f>
        <v>136.62265710865657</v>
      </c>
      <c r="AB107" s="4">
        <f>$K$107*$V$107</f>
        <v>0</v>
      </c>
      <c r="AC107" s="4">
        <f>$M$107*$W$107</f>
        <v>227056.11903999996</v>
      </c>
      <c r="AD107" s="4">
        <f>$O$107*$X$107</f>
        <v>12748.659439999998</v>
      </c>
      <c r="AE107" s="4">
        <f>$K$107*$Y$107</f>
        <v>0</v>
      </c>
      <c r="AF107" s="4">
        <f ca="1">$M$107*$Z$107</f>
        <v>222857.99729826333</v>
      </c>
      <c r="AG107" s="4">
        <f>$O$107*$AA$107</f>
        <v>11591.612719726858</v>
      </c>
    </row>
    <row r="108" spans="1:33" ht="11.25" customHeight="1" x14ac:dyDescent="0.25">
      <c r="A108" s="3" t="s">
        <v>28</v>
      </c>
      <c r="B108" s="3" t="s">
        <v>35</v>
      </c>
      <c r="C108" s="3" t="s">
        <v>39</v>
      </c>
      <c r="D108" s="3" t="s">
        <v>34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44440</v>
      </c>
      <c r="J108" s="4">
        <v>0</v>
      </c>
      <c r="K108" s="4">
        <v>0</v>
      </c>
      <c r="L108" s="4">
        <v>0.59099999999999997</v>
      </c>
      <c r="M108" s="4">
        <v>0.59099999999999997</v>
      </c>
      <c r="N108" s="4">
        <v>0.59099999999999997</v>
      </c>
      <c r="O108" s="4">
        <v>0.59099999999999997</v>
      </c>
      <c r="P108" s="4">
        <v>0</v>
      </c>
      <c r="Q108" s="3" t="s">
        <v>26</v>
      </c>
      <c r="R108" s="3">
        <v>0</v>
      </c>
      <c r="S108" s="4">
        <v>0</v>
      </c>
      <c r="T108" s="4">
        <v>35</v>
      </c>
      <c r="U108" s="4">
        <v>70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2676.16</v>
      </c>
      <c r="X108" s="4">
        <f>IF(ISERROR(VLOOKUP($U$108,'TAR FIN'!$A$1:$O$88,15,0)),0,VLOOKUP($U$108,'TAR FIN'!$A$1:$O$88,15,0))</f>
        <v>150.26</v>
      </c>
      <c r="Y108" s="4"/>
      <c r="Z108" s="4">
        <f ca="1">('TUSD BE'!$AM$11+'TUSD BF'!$AM$11+'TUSD CVA'!$AM$11)*1</f>
        <v>2626.6795212185111</v>
      </c>
      <c r="AA108" s="4">
        <f>('TE BE'!$AB$5+'TE BF'!$AB$5+'TE CVA'!$AB$5)*1</f>
        <v>136.62265710865657</v>
      </c>
      <c r="AB108" s="4">
        <f>$K$108*$V$108</f>
        <v>0</v>
      </c>
      <c r="AC108" s="4">
        <f>$M$108*$W$108</f>
        <v>1581.6105599999999</v>
      </c>
      <c r="AD108" s="4">
        <f>$O$108*$X$108</f>
        <v>88.803659999999994</v>
      </c>
      <c r="AE108" s="4">
        <f>$K$108*$Y$108</f>
        <v>0</v>
      </c>
      <c r="AF108" s="4">
        <f ca="1">$M$108*$Z$108</f>
        <v>1552.36759704014</v>
      </c>
      <c r="AG108" s="4">
        <f>$O$108*$AA$108</f>
        <v>80.743990351216027</v>
      </c>
    </row>
    <row r="109" spans="1:33" ht="11.25" customHeight="1" x14ac:dyDescent="0.25">
      <c r="A109" s="3" t="s">
        <v>21</v>
      </c>
      <c r="B109" s="3" t="s">
        <v>35</v>
      </c>
      <c r="C109" s="3" t="s">
        <v>39</v>
      </c>
      <c r="D109" s="3" t="s">
        <v>34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44470</v>
      </c>
      <c r="J109" s="4">
        <v>0</v>
      </c>
      <c r="K109" s="4">
        <v>0</v>
      </c>
      <c r="L109" s="4">
        <v>67.459999999999994</v>
      </c>
      <c r="M109" s="4">
        <v>67.459999999999994</v>
      </c>
      <c r="N109" s="4">
        <v>67.459999999999994</v>
      </c>
      <c r="O109" s="4">
        <v>67.459999999999994</v>
      </c>
      <c r="P109" s="4">
        <v>0</v>
      </c>
      <c r="Q109" s="3" t="s">
        <v>26</v>
      </c>
      <c r="R109" s="3">
        <v>0</v>
      </c>
      <c r="S109" s="4">
        <v>0</v>
      </c>
      <c r="T109" s="4">
        <v>35</v>
      </c>
      <c r="U109" s="4">
        <v>70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2676.16</v>
      </c>
      <c r="X109" s="4">
        <f>IF(ISERROR(VLOOKUP($U$109,'TAR FIN'!$A$1:$O$88,15,0)),0,VLOOKUP($U$109,'TAR FIN'!$A$1:$O$88,15,0))</f>
        <v>150.26</v>
      </c>
      <c r="Y109" s="4"/>
      <c r="Z109" s="4">
        <f ca="1">('TUSD BE'!$AM$11+'TUSD BF'!$AM$11+'TUSD CVA'!$AM$11)*1</f>
        <v>2626.6795212185111</v>
      </c>
      <c r="AA109" s="4">
        <f>('TE BE'!$AB$5+'TE BF'!$AB$5+'TE CVA'!$AB$5)*1</f>
        <v>136.62265710865657</v>
      </c>
      <c r="AB109" s="4">
        <f>$K$109*$V$109</f>
        <v>0</v>
      </c>
      <c r="AC109" s="4">
        <f>$M$109*$W$109</f>
        <v>180533.75359999997</v>
      </c>
      <c r="AD109" s="4">
        <f>$O$109*$X$109</f>
        <v>10136.539599999998</v>
      </c>
      <c r="AE109" s="4">
        <f>$K$109*$Y$109</f>
        <v>0</v>
      </c>
      <c r="AF109" s="4">
        <f ca="1">$M$109*$Z$109</f>
        <v>177195.80050140075</v>
      </c>
      <c r="AG109" s="4">
        <f>$O$109*$AA$109</f>
        <v>9216.5644485499706</v>
      </c>
    </row>
    <row r="110" spans="1:33" ht="11.25" customHeight="1" x14ac:dyDescent="0.25">
      <c r="A110" s="3" t="s">
        <v>28</v>
      </c>
      <c r="B110" s="3" t="s">
        <v>35</v>
      </c>
      <c r="C110" s="3" t="s">
        <v>39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44470</v>
      </c>
      <c r="J110" s="4">
        <v>0</v>
      </c>
      <c r="K110" s="4">
        <v>0</v>
      </c>
      <c r="L110" s="4">
        <v>0.57399999999999995</v>
      </c>
      <c r="M110" s="4">
        <v>0.57399999999999995</v>
      </c>
      <c r="N110" s="4">
        <v>0.57399999999999995</v>
      </c>
      <c r="O110" s="4">
        <v>0.57399999999999995</v>
      </c>
      <c r="P110" s="4">
        <v>0</v>
      </c>
      <c r="Q110" s="3" t="s">
        <v>26</v>
      </c>
      <c r="R110" s="3">
        <v>0</v>
      </c>
      <c r="S110" s="4">
        <v>0</v>
      </c>
      <c r="T110" s="4">
        <v>35</v>
      </c>
      <c r="U110" s="4">
        <v>70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2676.16</v>
      </c>
      <c r="X110" s="4">
        <f>IF(ISERROR(VLOOKUP($U$110,'TAR FIN'!$A$1:$O$88,15,0)),0,VLOOKUP($U$110,'TAR FIN'!$A$1:$O$88,15,0))</f>
        <v>150.26</v>
      </c>
      <c r="Y110" s="4"/>
      <c r="Z110" s="4">
        <f ca="1">('TUSD BE'!$AM$11+'TUSD BF'!$AM$11+'TUSD CVA'!$AM$11)*1</f>
        <v>2626.6795212185111</v>
      </c>
      <c r="AA110" s="4">
        <f>('TE BE'!$AB$5+'TE BF'!$AB$5+'TE CVA'!$AB$5)*1</f>
        <v>136.62265710865657</v>
      </c>
      <c r="AB110" s="4">
        <f>$K$110*$V$110</f>
        <v>0</v>
      </c>
      <c r="AC110" s="4">
        <f>$M$110*$W$110</f>
        <v>1536.1158399999997</v>
      </c>
      <c r="AD110" s="4">
        <f>$O$110*$X$110</f>
        <v>86.249239999999986</v>
      </c>
      <c r="AE110" s="4">
        <f>$K$110*$Y$110</f>
        <v>0</v>
      </c>
      <c r="AF110" s="4">
        <f ca="1">$M$110*$Z$110</f>
        <v>1507.7140451794253</v>
      </c>
      <c r="AG110" s="4">
        <f>$O$110*$AA$110</f>
        <v>78.421405180368865</v>
      </c>
    </row>
    <row r="111" spans="1:33" ht="11.25" customHeight="1" x14ac:dyDescent="0.25">
      <c r="A111" s="3" t="s">
        <v>21</v>
      </c>
      <c r="B111" s="3" t="s">
        <v>35</v>
      </c>
      <c r="C111" s="3" t="s">
        <v>39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44501</v>
      </c>
      <c r="J111" s="4">
        <v>0</v>
      </c>
      <c r="K111" s="4">
        <v>0</v>
      </c>
      <c r="L111" s="4">
        <v>74.069999999999993</v>
      </c>
      <c r="M111" s="4">
        <v>74.069999999999993</v>
      </c>
      <c r="N111" s="4">
        <v>74.069999999999993</v>
      </c>
      <c r="O111" s="4">
        <v>74.069999999999993</v>
      </c>
      <c r="P111" s="4">
        <v>0</v>
      </c>
      <c r="Q111" s="3" t="s">
        <v>26</v>
      </c>
      <c r="R111" s="3">
        <v>0</v>
      </c>
      <c r="S111" s="4">
        <v>0</v>
      </c>
      <c r="T111" s="4">
        <v>35</v>
      </c>
      <c r="U111" s="4">
        <v>70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2676.16</v>
      </c>
      <c r="X111" s="4">
        <f>IF(ISERROR(VLOOKUP($U$111,'TAR FIN'!$A$1:$O$88,15,0)),0,VLOOKUP($U$111,'TAR FIN'!$A$1:$O$88,15,0))</f>
        <v>150.26</v>
      </c>
      <c r="Y111" s="4"/>
      <c r="Z111" s="4">
        <f ca="1">('TUSD BE'!$AM$11+'TUSD BF'!$AM$11+'TUSD CVA'!$AM$11)*1</f>
        <v>2626.6795212185111</v>
      </c>
      <c r="AA111" s="4">
        <f>('TE BE'!$AB$5+'TE BF'!$AB$5+'TE CVA'!$AB$5)*1</f>
        <v>136.62265710865657</v>
      </c>
      <c r="AB111" s="4">
        <f>$K$111*$V$111</f>
        <v>0</v>
      </c>
      <c r="AC111" s="4">
        <f>$M$111*$W$111</f>
        <v>198223.17119999998</v>
      </c>
      <c r="AD111" s="4">
        <f>$O$111*$X$111</f>
        <v>11129.758199999998</v>
      </c>
      <c r="AE111" s="4">
        <f>$K$111*$Y$111</f>
        <v>0</v>
      </c>
      <c r="AF111" s="4">
        <f ca="1">$M$111*$Z$111</f>
        <v>194558.15213665509</v>
      </c>
      <c r="AG111" s="4">
        <f>$O$111*$AA$111</f>
        <v>10119.640212038192</v>
      </c>
    </row>
    <row r="112" spans="1:33" ht="11.25" customHeight="1" x14ac:dyDescent="0.25">
      <c r="A112" s="3" t="s">
        <v>28</v>
      </c>
      <c r="B112" s="3" t="s">
        <v>35</v>
      </c>
      <c r="C112" s="3" t="s">
        <v>39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44501</v>
      </c>
      <c r="J112" s="4">
        <v>0</v>
      </c>
      <c r="K112" s="4">
        <v>0</v>
      </c>
      <c r="L112" s="4">
        <v>0.54500000000000004</v>
      </c>
      <c r="M112" s="4">
        <v>0.54500000000000004</v>
      </c>
      <c r="N112" s="4">
        <v>0.54500000000000004</v>
      </c>
      <c r="O112" s="4">
        <v>0.54500000000000004</v>
      </c>
      <c r="P112" s="4">
        <v>0</v>
      </c>
      <c r="Q112" s="3" t="s">
        <v>26</v>
      </c>
      <c r="R112" s="3">
        <v>0</v>
      </c>
      <c r="S112" s="4">
        <v>0</v>
      </c>
      <c r="T112" s="4">
        <v>35</v>
      </c>
      <c r="U112" s="4">
        <v>70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2676.16</v>
      </c>
      <c r="X112" s="4">
        <f>IF(ISERROR(VLOOKUP($U$112,'TAR FIN'!$A$1:$O$88,15,0)),0,VLOOKUP($U$112,'TAR FIN'!$A$1:$O$88,15,0))</f>
        <v>150.26</v>
      </c>
      <c r="Y112" s="4"/>
      <c r="Z112" s="4">
        <f ca="1">('TUSD BE'!$AM$11+'TUSD BF'!$AM$11+'TUSD CVA'!$AM$11)*1</f>
        <v>2626.6795212185111</v>
      </c>
      <c r="AA112" s="4">
        <f>('TE BE'!$AB$5+'TE BF'!$AB$5+'TE CVA'!$AB$5)*1</f>
        <v>136.62265710865657</v>
      </c>
      <c r="AB112" s="4">
        <f>$K$112*$V$112</f>
        <v>0</v>
      </c>
      <c r="AC112" s="4">
        <f>$M$112*$W$112</f>
        <v>1458.5072</v>
      </c>
      <c r="AD112" s="4">
        <f>$O$112*$X$112</f>
        <v>81.8917</v>
      </c>
      <c r="AE112" s="4">
        <f>$K$112*$Y$112</f>
        <v>0</v>
      </c>
      <c r="AF112" s="4">
        <f ca="1">$M$112*$Z$112</f>
        <v>1431.5403390640886</v>
      </c>
      <c r="AG112" s="4">
        <f>$O$112*$AA$112</f>
        <v>74.45934812421784</v>
      </c>
    </row>
    <row r="113" spans="1:33" ht="11.25" customHeight="1" x14ac:dyDescent="0.25">
      <c r="A113" s="3" t="s">
        <v>21</v>
      </c>
      <c r="B113" s="3" t="s">
        <v>35</v>
      </c>
      <c r="C113" s="3" t="s">
        <v>39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44531</v>
      </c>
      <c r="J113" s="4">
        <v>0</v>
      </c>
      <c r="K113" s="4">
        <v>0</v>
      </c>
      <c r="L113" s="4">
        <v>83.748999999999995</v>
      </c>
      <c r="M113" s="4">
        <v>83.748999999999995</v>
      </c>
      <c r="N113" s="4">
        <v>83.748999999999995</v>
      </c>
      <c r="O113" s="4">
        <v>83.748999999999995</v>
      </c>
      <c r="P113" s="4">
        <v>0</v>
      </c>
      <c r="Q113" s="3" t="s">
        <v>26</v>
      </c>
      <c r="R113" s="3">
        <v>0</v>
      </c>
      <c r="S113" s="4">
        <v>0</v>
      </c>
      <c r="T113" s="4">
        <v>35</v>
      </c>
      <c r="U113" s="4">
        <v>70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2676.16</v>
      </c>
      <c r="X113" s="4">
        <f>IF(ISERROR(VLOOKUP($U$113,'TAR FIN'!$A$1:$O$88,15,0)),0,VLOOKUP($U$113,'TAR FIN'!$A$1:$O$88,15,0))</f>
        <v>150.26</v>
      </c>
      <c r="Y113" s="4"/>
      <c r="Z113" s="4">
        <f ca="1">('TUSD BE'!$AM$11+'TUSD BF'!$AM$11+'TUSD CVA'!$AM$11)*1</f>
        <v>2626.6795212185111</v>
      </c>
      <c r="AA113" s="4">
        <f>('TE BE'!$AB$5+'TE BF'!$AB$5+'TE CVA'!$AB$5)*1</f>
        <v>136.62265710865657</v>
      </c>
      <c r="AB113" s="4">
        <f>$K$113*$V$113</f>
        <v>0</v>
      </c>
      <c r="AC113" s="4">
        <f>$M$113*$W$113</f>
        <v>224125.72383999996</v>
      </c>
      <c r="AD113" s="4">
        <f>$O$113*$X$113</f>
        <v>12584.124739999999</v>
      </c>
      <c r="AE113" s="4">
        <f>$K$113*$Y$113</f>
        <v>0</v>
      </c>
      <c r="AF113" s="4">
        <f ca="1">$M$113*$Z$113</f>
        <v>219981.78322252908</v>
      </c>
      <c r="AG113" s="4">
        <f>$O$113*$AA$113</f>
        <v>11442.010910192877</v>
      </c>
    </row>
    <row r="114" spans="1:33" ht="11.25" customHeight="1" x14ac:dyDescent="0.25">
      <c r="A114" s="3" t="s">
        <v>21</v>
      </c>
      <c r="B114" s="3" t="s">
        <v>35</v>
      </c>
      <c r="C114" s="3" t="s">
        <v>39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44562</v>
      </c>
      <c r="J114" s="4">
        <v>0</v>
      </c>
      <c r="K114" s="4">
        <v>0</v>
      </c>
      <c r="L114" s="4">
        <v>70.064999999999998</v>
      </c>
      <c r="M114" s="4">
        <v>70.064999999999998</v>
      </c>
      <c r="N114" s="4">
        <v>70.064999999999998</v>
      </c>
      <c r="O114" s="4">
        <v>70.064999999999998</v>
      </c>
      <c r="P114" s="4">
        <v>0</v>
      </c>
      <c r="Q114" s="3" t="s">
        <v>26</v>
      </c>
      <c r="R114" s="3">
        <v>0</v>
      </c>
      <c r="S114" s="4">
        <v>0</v>
      </c>
      <c r="T114" s="4">
        <v>35</v>
      </c>
      <c r="U114" s="4">
        <v>70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2676.16</v>
      </c>
      <c r="X114" s="4">
        <f>IF(ISERROR(VLOOKUP($U$114,'TAR FIN'!$A$1:$O$88,15,0)),0,VLOOKUP($U$114,'TAR FIN'!$A$1:$O$88,15,0))</f>
        <v>150.26</v>
      </c>
      <c r="Y114" s="4"/>
      <c r="Z114" s="4">
        <f ca="1">('TUSD BE'!$AM$11+'TUSD BF'!$AM$11+'TUSD CVA'!$AM$11)*1</f>
        <v>2626.6795212185111</v>
      </c>
      <c r="AA114" s="4">
        <f>('TE BE'!$AB$5+'TE BF'!$AB$5+'TE CVA'!$AB$5)*1</f>
        <v>136.62265710865657</v>
      </c>
      <c r="AB114" s="4">
        <f>$K$114*$V$114</f>
        <v>0</v>
      </c>
      <c r="AC114" s="4">
        <f>$M$114*$W$114</f>
        <v>187505.15039999998</v>
      </c>
      <c r="AD114" s="4">
        <f>$O$114*$X$114</f>
        <v>10527.966899999999</v>
      </c>
      <c r="AE114" s="4">
        <f>$K$114*$Y$114</f>
        <v>0</v>
      </c>
      <c r="AF114" s="4">
        <f ca="1">$M$114*$Z$114</f>
        <v>184038.30065417496</v>
      </c>
      <c r="AG114" s="4">
        <f>$O$114*$AA$114</f>
        <v>9572.4664703180224</v>
      </c>
    </row>
    <row r="115" spans="1:33" ht="11.25" customHeight="1" x14ac:dyDescent="0.25">
      <c r="A115" s="3" t="s">
        <v>28</v>
      </c>
      <c r="B115" s="3" t="s">
        <v>35</v>
      </c>
      <c r="C115" s="3" t="s">
        <v>39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44562</v>
      </c>
      <c r="J115" s="4">
        <v>0</v>
      </c>
      <c r="K115" s="4">
        <v>0</v>
      </c>
      <c r="L115" s="4">
        <v>0.83</v>
      </c>
      <c r="M115" s="4">
        <v>0.83</v>
      </c>
      <c r="N115" s="4">
        <v>0.83</v>
      </c>
      <c r="O115" s="4">
        <v>0.83</v>
      </c>
      <c r="P115" s="4">
        <v>0</v>
      </c>
      <c r="Q115" s="3" t="s">
        <v>26</v>
      </c>
      <c r="R115" s="3">
        <v>0</v>
      </c>
      <c r="S115" s="4">
        <v>0</v>
      </c>
      <c r="T115" s="4">
        <v>35</v>
      </c>
      <c r="U115" s="4">
        <v>70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2676.16</v>
      </c>
      <c r="X115" s="4">
        <f>IF(ISERROR(VLOOKUP($U$115,'TAR FIN'!$A$1:$O$88,15,0)),0,VLOOKUP($U$115,'TAR FIN'!$A$1:$O$88,15,0))</f>
        <v>150.26</v>
      </c>
      <c r="Y115" s="4"/>
      <c r="Z115" s="4">
        <f ca="1">('TUSD BE'!$AM$11+'TUSD BF'!$AM$11+'TUSD CVA'!$AM$11)*1</f>
        <v>2626.6795212185111</v>
      </c>
      <c r="AA115" s="4">
        <f>('TE BE'!$AB$5+'TE BF'!$AB$5+'TE CVA'!$AB$5)*1</f>
        <v>136.62265710865657</v>
      </c>
      <c r="AB115" s="4">
        <f>$K$115*$V$115</f>
        <v>0</v>
      </c>
      <c r="AC115" s="4">
        <f>$M$115*$W$115</f>
        <v>2221.2127999999998</v>
      </c>
      <c r="AD115" s="4">
        <f>$O$115*$X$115</f>
        <v>124.71579999999999</v>
      </c>
      <c r="AE115" s="4">
        <f>$K$115*$Y$115</f>
        <v>0</v>
      </c>
      <c r="AF115" s="4">
        <f ca="1">$M$115*$Z$115</f>
        <v>2180.1440026113642</v>
      </c>
      <c r="AG115" s="4">
        <f>$O$115*$AA$115</f>
        <v>113.39680540018495</v>
      </c>
    </row>
    <row r="116" spans="1:3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37</v>
      </c>
      <c r="I116" s="6">
        <v>44593</v>
      </c>
      <c r="J116" s="4">
        <v>0</v>
      </c>
      <c r="K116" s="4">
        <v>0</v>
      </c>
      <c r="L116" s="4">
        <v>85.513999999999996</v>
      </c>
      <c r="M116" s="4">
        <v>85.513999999999996</v>
      </c>
      <c r="N116" s="4">
        <v>85.513999999999996</v>
      </c>
      <c r="O116" s="4">
        <v>85.513999999999996</v>
      </c>
      <c r="P116" s="4">
        <v>0</v>
      </c>
      <c r="Q116" s="3" t="s">
        <v>26</v>
      </c>
      <c r="R116" s="3">
        <v>0</v>
      </c>
      <c r="S116" s="4">
        <v>0</v>
      </c>
      <c r="T116" s="4">
        <v>35</v>
      </c>
      <c r="U116" s="4">
        <v>70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2676.16</v>
      </c>
      <c r="X116" s="4">
        <f>IF(ISERROR(VLOOKUP($U$116,'TAR FIN'!$A$1:$O$88,15,0)),0,VLOOKUP($U$116,'TAR FIN'!$A$1:$O$88,15,0))</f>
        <v>150.26</v>
      </c>
      <c r="Y116" s="4"/>
      <c r="Z116" s="4">
        <f ca="1">('TUSD BE'!$AM$11+'TUSD BF'!$AM$11+'TUSD CVA'!$AM$11)*1</f>
        <v>2626.6795212185111</v>
      </c>
      <c r="AA116" s="4">
        <f>('TE BE'!$AB$5+'TE BF'!$AB$5+'TE CVA'!$AB$5)*1</f>
        <v>136.62265710865657</v>
      </c>
      <c r="AB116" s="4">
        <f>$K$116*$V$116</f>
        <v>0</v>
      </c>
      <c r="AC116" s="4">
        <f>$M$116*$W$116</f>
        <v>228849.14623999997</v>
      </c>
      <c r="AD116" s="4">
        <f>$O$116*$X$116</f>
        <v>12849.333639999999</v>
      </c>
      <c r="AE116" s="4">
        <f>$K$116*$Y$116</f>
        <v>0</v>
      </c>
      <c r="AF116" s="4">
        <f ca="1">$M$116*$Z$116</f>
        <v>224617.87257747975</v>
      </c>
      <c r="AG116" s="4">
        <f>$O$116*$AA$116</f>
        <v>11683.149899989658</v>
      </c>
    </row>
    <row r="117" spans="1:33" ht="11.25" customHeight="1" x14ac:dyDescent="0.25">
      <c r="A117" s="3" t="s">
        <v>21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37</v>
      </c>
      <c r="I117" s="6">
        <v>44621</v>
      </c>
      <c r="J117" s="4">
        <v>0</v>
      </c>
      <c r="K117" s="4">
        <v>0</v>
      </c>
      <c r="L117" s="4">
        <v>80.924000000000007</v>
      </c>
      <c r="M117" s="4">
        <v>80.924000000000007</v>
      </c>
      <c r="N117" s="4">
        <v>80.924000000000007</v>
      </c>
      <c r="O117" s="4">
        <v>80.924000000000007</v>
      </c>
      <c r="P117" s="4">
        <v>0</v>
      </c>
      <c r="Q117" s="3" t="s">
        <v>26</v>
      </c>
      <c r="R117" s="3">
        <v>0</v>
      </c>
      <c r="S117" s="4">
        <v>0</v>
      </c>
      <c r="T117" s="4">
        <v>35</v>
      </c>
      <c r="U117" s="4">
        <v>70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2676.16</v>
      </c>
      <c r="X117" s="4">
        <f>IF(ISERROR(VLOOKUP($U$117,'TAR FIN'!$A$1:$O$88,15,0)),0,VLOOKUP($U$117,'TAR FIN'!$A$1:$O$88,15,0))</f>
        <v>150.26</v>
      </c>
      <c r="Y117" s="4"/>
      <c r="Z117" s="4">
        <f ca="1">('TUSD BE'!$AM$11+'TUSD BF'!$AM$11+'TUSD CVA'!$AM$11)*1</f>
        <v>2626.6795212185111</v>
      </c>
      <c r="AA117" s="4">
        <f>('TE BE'!$AB$5+'TE BF'!$AB$5+'TE CVA'!$AB$5)*1</f>
        <v>136.62265710865657</v>
      </c>
      <c r="AB117" s="4">
        <f>$K$117*$V$117</f>
        <v>0</v>
      </c>
      <c r="AC117" s="4">
        <f>$M$117*$W$117</f>
        <v>216565.57184000002</v>
      </c>
      <c r="AD117" s="4">
        <f>$O$117*$X$117</f>
        <v>12159.640240000001</v>
      </c>
      <c r="AE117" s="4">
        <f>$K$117*$Y$117</f>
        <v>0</v>
      </c>
      <c r="AF117" s="4">
        <f ca="1">$M$117*$Z$117</f>
        <v>212561.4135750868</v>
      </c>
      <c r="AG117" s="4">
        <f>$O$117*$AA$117</f>
        <v>11056.051903860925</v>
      </c>
    </row>
    <row r="118" spans="1:33" ht="11.25" customHeight="1" x14ac:dyDescent="0.25">
      <c r="A118" s="3" t="s">
        <v>28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37</v>
      </c>
      <c r="I118" s="6">
        <v>44621</v>
      </c>
      <c r="J118" s="4">
        <v>0</v>
      </c>
      <c r="K118" s="4">
        <v>0</v>
      </c>
      <c r="L118" s="4">
        <v>0.44700000000000001</v>
      </c>
      <c r="M118" s="4">
        <v>0.44700000000000001</v>
      </c>
      <c r="N118" s="4">
        <v>0.44700000000000001</v>
      </c>
      <c r="O118" s="4">
        <v>0.44700000000000001</v>
      </c>
      <c r="P118" s="4">
        <v>0</v>
      </c>
      <c r="Q118" s="3" t="s">
        <v>26</v>
      </c>
      <c r="R118" s="3">
        <v>0</v>
      </c>
      <c r="S118" s="4">
        <v>0</v>
      </c>
      <c r="T118" s="4">
        <v>35</v>
      </c>
      <c r="U118" s="4">
        <v>70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2676.16</v>
      </c>
      <c r="X118" s="4">
        <f>IF(ISERROR(VLOOKUP($U$118,'TAR FIN'!$A$1:$O$88,15,0)),0,VLOOKUP($U$118,'TAR FIN'!$A$1:$O$88,15,0))</f>
        <v>150.26</v>
      </c>
      <c r="Y118" s="4"/>
      <c r="Z118" s="4">
        <f ca="1">('TUSD BE'!$AM$11+'TUSD BF'!$AM$11+'TUSD CVA'!$AM$11)*1</f>
        <v>2626.6795212185111</v>
      </c>
      <c r="AA118" s="4">
        <f>('TE BE'!$AB$5+'TE BF'!$AB$5+'TE CVA'!$AB$5)*1</f>
        <v>136.62265710865657</v>
      </c>
      <c r="AB118" s="4">
        <f>$K$118*$V$118</f>
        <v>0</v>
      </c>
      <c r="AC118" s="4">
        <f>$M$118*$W$118</f>
        <v>1196.24352</v>
      </c>
      <c r="AD118" s="4">
        <f>$O$118*$X$118</f>
        <v>67.166219999999996</v>
      </c>
      <c r="AE118" s="4">
        <f>$K$118*$Y$118</f>
        <v>0</v>
      </c>
      <c r="AF118" s="4">
        <f ca="1">$M$118*$Z$118</f>
        <v>1174.1257459846745</v>
      </c>
      <c r="AG118" s="4">
        <f>$O$118*$AA$118</f>
        <v>61.070327727569484</v>
      </c>
    </row>
    <row r="119" spans="1:33" ht="11.25" customHeight="1" x14ac:dyDescent="0.25">
      <c r="A119" s="3" t="s">
        <v>21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37</v>
      </c>
      <c r="I119" s="6">
        <v>44652</v>
      </c>
      <c r="J119" s="4">
        <v>0</v>
      </c>
      <c r="K119" s="4">
        <v>0</v>
      </c>
      <c r="L119" s="4">
        <v>94.688999999999993</v>
      </c>
      <c r="M119" s="4">
        <v>94.688999999999993</v>
      </c>
      <c r="N119" s="4">
        <v>94.688999999999993</v>
      </c>
      <c r="O119" s="4">
        <v>94.688999999999993</v>
      </c>
      <c r="P119" s="4">
        <v>0</v>
      </c>
      <c r="Q119" s="3" t="s">
        <v>26</v>
      </c>
      <c r="R119" s="3">
        <v>0</v>
      </c>
      <c r="S119" s="4">
        <v>0</v>
      </c>
      <c r="T119" s="4">
        <v>35</v>
      </c>
      <c r="U119" s="4">
        <v>70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2676.16</v>
      </c>
      <c r="X119" s="4">
        <f>IF(ISERROR(VLOOKUP($U$119,'TAR FIN'!$A$1:$O$88,15,0)),0,VLOOKUP($U$119,'TAR FIN'!$A$1:$O$88,15,0))</f>
        <v>150.26</v>
      </c>
      <c r="Y119" s="4"/>
      <c r="Z119" s="4">
        <f ca="1">('TUSD BE'!$AM$11+'TUSD BF'!$AM$11+'TUSD CVA'!$AM$11)*1</f>
        <v>2626.6795212185111</v>
      </c>
      <c r="AA119" s="4">
        <f>('TE BE'!$AB$5+'TE BF'!$AB$5+'TE CVA'!$AB$5)*1</f>
        <v>136.62265710865657</v>
      </c>
      <c r="AB119" s="4">
        <f>$K$119*$V$119</f>
        <v>0</v>
      </c>
      <c r="AC119" s="4">
        <f>$M$119*$W$119</f>
        <v>253402.91423999995</v>
      </c>
      <c r="AD119" s="4">
        <f>$O$119*$X$119</f>
        <v>14227.969139999997</v>
      </c>
      <c r="AE119" s="4">
        <f>$K$119*$Y$119</f>
        <v>0</v>
      </c>
      <c r="AF119" s="4">
        <f ca="1">$M$119*$Z$119</f>
        <v>248717.65718465959</v>
      </c>
      <c r="AG119" s="4">
        <f>$O$119*$AA$119</f>
        <v>12936.662778961581</v>
      </c>
    </row>
    <row r="120" spans="1:33" ht="11.25" customHeight="1" x14ac:dyDescent="0.25">
      <c r="A120" s="3" t="s">
        <v>28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37</v>
      </c>
      <c r="I120" s="6">
        <v>44652</v>
      </c>
      <c r="J120" s="4">
        <v>0</v>
      </c>
      <c r="K120" s="4">
        <v>0</v>
      </c>
      <c r="L120" s="4">
        <v>0.40100000000000002</v>
      </c>
      <c r="M120" s="4">
        <v>0.40100000000000002</v>
      </c>
      <c r="N120" s="4">
        <v>0.40100000000000002</v>
      </c>
      <c r="O120" s="4">
        <v>0.40100000000000002</v>
      </c>
      <c r="P120" s="4">
        <v>0</v>
      </c>
      <c r="Q120" s="3" t="s">
        <v>26</v>
      </c>
      <c r="R120" s="3">
        <v>0</v>
      </c>
      <c r="S120" s="4">
        <v>0</v>
      </c>
      <c r="T120" s="4">
        <v>35</v>
      </c>
      <c r="U120" s="4">
        <v>70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2676.16</v>
      </c>
      <c r="X120" s="4">
        <f>IF(ISERROR(VLOOKUP($U$120,'TAR FIN'!$A$1:$O$88,15,0)),0,VLOOKUP($U$120,'TAR FIN'!$A$1:$O$88,15,0))</f>
        <v>150.26</v>
      </c>
      <c r="Y120" s="4"/>
      <c r="Z120" s="4">
        <f ca="1">('TUSD BE'!$AM$11+'TUSD BF'!$AM$11+'TUSD CVA'!$AM$11)*1</f>
        <v>2626.6795212185111</v>
      </c>
      <c r="AA120" s="4">
        <f>('TE BE'!$AB$5+'TE BF'!$AB$5+'TE CVA'!$AB$5)*1</f>
        <v>136.62265710865657</v>
      </c>
      <c r="AB120" s="4">
        <f>$K$120*$V$120</f>
        <v>0</v>
      </c>
      <c r="AC120" s="4">
        <f>$M$120*$W$120</f>
        <v>1073.1401599999999</v>
      </c>
      <c r="AD120" s="4">
        <f>$O$120*$X$120</f>
        <v>60.254260000000002</v>
      </c>
      <c r="AE120" s="4">
        <f>$K$120*$Y$120</f>
        <v>0</v>
      </c>
      <c r="AF120" s="4">
        <f ca="1">$M$120*$Z$120</f>
        <v>1053.2984880086231</v>
      </c>
      <c r="AG120" s="4">
        <f>$O$120*$AA$120</f>
        <v>54.78568550057129</v>
      </c>
    </row>
    <row r="121" spans="1:33" ht="11.25" customHeight="1" x14ac:dyDescent="0.25">
      <c r="A121" s="3" t="s">
        <v>21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37</v>
      </c>
      <c r="I121" s="6">
        <v>44682</v>
      </c>
      <c r="J121" s="4">
        <v>0</v>
      </c>
      <c r="K121" s="4">
        <v>0</v>
      </c>
      <c r="L121" s="4">
        <v>98.71</v>
      </c>
      <c r="M121" s="4">
        <v>98.71</v>
      </c>
      <c r="N121" s="4">
        <v>98.71</v>
      </c>
      <c r="O121" s="4">
        <v>98.71</v>
      </c>
      <c r="P121" s="4">
        <v>0</v>
      </c>
      <c r="Q121" s="3" t="s">
        <v>26</v>
      </c>
      <c r="R121" s="3">
        <v>0</v>
      </c>
      <c r="S121" s="4">
        <v>0</v>
      </c>
      <c r="T121" s="4">
        <v>35</v>
      </c>
      <c r="U121" s="4">
        <v>70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2676.16</v>
      </c>
      <c r="X121" s="4">
        <f>IF(ISERROR(VLOOKUP($U$121,'TAR FIN'!$A$1:$O$88,15,0)),0,VLOOKUP($U$121,'TAR FIN'!$A$1:$O$88,15,0))</f>
        <v>150.26</v>
      </c>
      <c r="Y121" s="4"/>
      <c r="Z121" s="4">
        <f ca="1">('TUSD BE'!$AM$11+'TUSD BF'!$AM$11+'TUSD CVA'!$AM$11)*1</f>
        <v>2626.6795212185111</v>
      </c>
      <c r="AA121" s="4">
        <f>('TE BE'!$AB$5+'TE BF'!$AB$5+'TE CVA'!$AB$5)*1</f>
        <v>136.62265710865657</v>
      </c>
      <c r="AB121" s="4">
        <f>$K$121*$V$121</f>
        <v>0</v>
      </c>
      <c r="AC121" s="4">
        <f>$M$121*$W$121</f>
        <v>264163.7536</v>
      </c>
      <c r="AD121" s="4">
        <f>$O$121*$X$121</f>
        <v>14832.164599999998</v>
      </c>
      <c r="AE121" s="4">
        <f>$K$121*$Y$121</f>
        <v>0</v>
      </c>
      <c r="AF121" s="4">
        <f ca="1">$M$121*$Z$121</f>
        <v>259279.53553947923</v>
      </c>
      <c r="AG121" s="4">
        <f>$O$121*$AA$121</f>
        <v>13486.022483195489</v>
      </c>
    </row>
    <row r="122" spans="1:33" ht="11.25" customHeight="1" x14ac:dyDescent="0.25">
      <c r="A122" s="3" t="s">
        <v>28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44682</v>
      </c>
      <c r="J122" s="4">
        <v>0</v>
      </c>
      <c r="K122" s="4">
        <v>0</v>
      </c>
      <c r="L122" s="4">
        <v>0.55800000000000005</v>
      </c>
      <c r="M122" s="4">
        <v>0.55800000000000005</v>
      </c>
      <c r="N122" s="4">
        <v>0.55800000000000005</v>
      </c>
      <c r="O122" s="4">
        <v>0.55800000000000005</v>
      </c>
      <c r="P122" s="4">
        <v>0</v>
      </c>
      <c r="Q122" s="3" t="s">
        <v>26</v>
      </c>
      <c r="R122" s="3">
        <v>0</v>
      </c>
      <c r="S122" s="4">
        <v>0</v>
      </c>
      <c r="T122" s="4">
        <v>35</v>
      </c>
      <c r="U122" s="4">
        <v>70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2676.16</v>
      </c>
      <c r="X122" s="4">
        <f>IF(ISERROR(VLOOKUP($U$122,'TAR FIN'!$A$1:$O$88,15,0)),0,VLOOKUP($U$122,'TAR FIN'!$A$1:$O$88,15,0))</f>
        <v>150.26</v>
      </c>
      <c r="Y122" s="4"/>
      <c r="Z122" s="4">
        <f ca="1">('TUSD BE'!$AM$11+'TUSD BF'!$AM$11+'TUSD CVA'!$AM$11)*1</f>
        <v>2626.6795212185111</v>
      </c>
      <c r="AA122" s="4">
        <f>('TE BE'!$AB$5+'TE BF'!$AB$5+'TE CVA'!$AB$5)*1</f>
        <v>136.62265710865657</v>
      </c>
      <c r="AB122" s="4">
        <f>$K$122*$V$122</f>
        <v>0</v>
      </c>
      <c r="AC122" s="4">
        <f>$M$122*$W$122</f>
        <v>1493.29728</v>
      </c>
      <c r="AD122" s="4">
        <f>$O$122*$X$122</f>
        <v>83.845079999999996</v>
      </c>
      <c r="AE122" s="4">
        <f>$K$122*$Y$122</f>
        <v>0</v>
      </c>
      <c r="AF122" s="4">
        <f ca="1">$M$122*$Z$122</f>
        <v>1465.6871728399294</v>
      </c>
      <c r="AG122" s="4">
        <f>$O$122*$AA$122</f>
        <v>76.235442666630377</v>
      </c>
    </row>
    <row r="123" spans="1:33" ht="11.25" customHeight="1" x14ac:dyDescent="0.25">
      <c r="A123" s="3" t="s">
        <v>21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44713</v>
      </c>
      <c r="J123" s="4">
        <v>0</v>
      </c>
      <c r="K123" s="4">
        <v>0</v>
      </c>
      <c r="L123" s="4">
        <v>90.647999999999996</v>
      </c>
      <c r="M123" s="4">
        <v>90.647999999999996</v>
      </c>
      <c r="N123" s="4">
        <v>90.647999999999996</v>
      </c>
      <c r="O123" s="4">
        <v>90.647999999999996</v>
      </c>
      <c r="P123" s="4">
        <v>0</v>
      </c>
      <c r="Q123" s="3" t="s">
        <v>26</v>
      </c>
      <c r="R123" s="3">
        <v>0</v>
      </c>
      <c r="S123" s="4">
        <v>0</v>
      </c>
      <c r="T123" s="4">
        <v>35</v>
      </c>
      <c r="U123" s="4">
        <v>70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2676.16</v>
      </c>
      <c r="X123" s="4">
        <f>IF(ISERROR(VLOOKUP($U$123,'TAR FIN'!$A$1:$O$88,15,0)),0,VLOOKUP($U$123,'TAR FIN'!$A$1:$O$88,15,0))</f>
        <v>150.26</v>
      </c>
      <c r="Y123" s="4"/>
      <c r="Z123" s="4">
        <f ca="1">('TUSD BE'!$AM$11+'TUSD BF'!$AM$11+'TUSD CVA'!$AM$11)*1</f>
        <v>2626.6795212185111</v>
      </c>
      <c r="AA123" s="4">
        <f>('TE BE'!$AB$5+'TE BF'!$AB$5+'TE CVA'!$AB$5)*1</f>
        <v>136.62265710865657</v>
      </c>
      <c r="AB123" s="4">
        <f>$K$123*$V$123</f>
        <v>0</v>
      </c>
      <c r="AC123" s="4">
        <f>$M$123*$W$123</f>
        <v>242588.55167999998</v>
      </c>
      <c r="AD123" s="4">
        <f>$O$123*$X$123</f>
        <v>13620.768479999999</v>
      </c>
      <c r="AE123" s="4">
        <f>$K$123*$Y$123</f>
        <v>0</v>
      </c>
      <c r="AF123" s="4">
        <f ca="1">$M$123*$Z$123</f>
        <v>238103.24523941558</v>
      </c>
      <c r="AG123" s="4">
        <f>$O$123*$AA$123</f>
        <v>12384.570621585501</v>
      </c>
    </row>
    <row r="124" spans="1:33" ht="11.25" customHeight="1" x14ac:dyDescent="0.25">
      <c r="A124" s="3" t="s">
        <v>28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44713</v>
      </c>
      <c r="J124" s="4">
        <v>0</v>
      </c>
      <c r="K124" s="4">
        <v>0</v>
      </c>
      <c r="L124" s="4">
        <v>0.51900000000000002</v>
      </c>
      <c r="M124" s="4">
        <v>0.51900000000000002</v>
      </c>
      <c r="N124" s="4">
        <v>0.51900000000000002</v>
      </c>
      <c r="O124" s="4">
        <v>0.51900000000000002</v>
      </c>
      <c r="P124" s="4">
        <v>0</v>
      </c>
      <c r="Q124" s="3" t="s">
        <v>26</v>
      </c>
      <c r="R124" s="3">
        <v>0</v>
      </c>
      <c r="S124" s="4">
        <v>0</v>
      </c>
      <c r="T124" s="4">
        <v>35</v>
      </c>
      <c r="U124" s="4">
        <v>70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2676.16</v>
      </c>
      <c r="X124" s="4">
        <f>IF(ISERROR(VLOOKUP($U$124,'TAR FIN'!$A$1:$O$88,15,0)),0,VLOOKUP($U$124,'TAR FIN'!$A$1:$O$88,15,0))</f>
        <v>150.26</v>
      </c>
      <c r="Y124" s="4"/>
      <c r="Z124" s="4">
        <f ca="1">('TUSD BE'!$AM$11+'TUSD BF'!$AM$11+'TUSD CVA'!$AM$11)*1</f>
        <v>2626.6795212185111</v>
      </c>
      <c r="AA124" s="4">
        <f>('TE BE'!$AB$5+'TE BF'!$AB$5+'TE CVA'!$AB$5)*1</f>
        <v>136.62265710865657</v>
      </c>
      <c r="AB124" s="4">
        <f>$K$124*$V$124</f>
        <v>0</v>
      </c>
      <c r="AC124" s="4">
        <f>$M$124*$W$124</f>
        <v>1388.92704</v>
      </c>
      <c r="AD124" s="4">
        <f>$O$124*$X$124</f>
        <v>77.984939999999995</v>
      </c>
      <c r="AE124" s="4">
        <f>$K$124*$Y$124</f>
        <v>0</v>
      </c>
      <c r="AF124" s="4">
        <f ca="1">$M$124*$Z$124</f>
        <v>1363.2466715124074</v>
      </c>
      <c r="AG124" s="4">
        <f>$O$124*$AA$124</f>
        <v>70.907159039392766</v>
      </c>
    </row>
    <row r="125" spans="1:33" ht="11.25" customHeight="1" x14ac:dyDescent="0.25">
      <c r="A125" s="3" t="s">
        <v>21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44743</v>
      </c>
      <c r="J125" s="4">
        <v>0</v>
      </c>
      <c r="K125" s="4">
        <v>0</v>
      </c>
      <c r="L125" s="4">
        <v>116.777</v>
      </c>
      <c r="M125" s="4">
        <v>116.777</v>
      </c>
      <c r="N125" s="4">
        <v>116.777</v>
      </c>
      <c r="O125" s="4">
        <v>116.777</v>
      </c>
      <c r="P125" s="4">
        <v>0</v>
      </c>
      <c r="Q125" s="3" t="s">
        <v>26</v>
      </c>
      <c r="R125" s="3">
        <v>0</v>
      </c>
      <c r="S125" s="4">
        <v>0</v>
      </c>
      <c r="T125" s="4">
        <v>35</v>
      </c>
      <c r="U125" s="4">
        <v>70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2676.16</v>
      </c>
      <c r="X125" s="4">
        <f>IF(ISERROR(VLOOKUP($U$125,'TAR FIN'!$A$1:$O$88,15,0)),0,VLOOKUP($U$125,'TAR FIN'!$A$1:$O$88,15,0))</f>
        <v>150.26</v>
      </c>
      <c r="Y125" s="4"/>
      <c r="Z125" s="4">
        <f ca="1">('TUSD BE'!$AM$11+'TUSD BF'!$AM$11+'TUSD CVA'!$AM$11)*1</f>
        <v>2626.6795212185111</v>
      </c>
      <c r="AA125" s="4">
        <f>('TE BE'!$AB$5+'TE BF'!$AB$5+'TE CVA'!$AB$5)*1</f>
        <v>136.62265710865657</v>
      </c>
      <c r="AB125" s="4">
        <f>$K$125*$V$125</f>
        <v>0</v>
      </c>
      <c r="AC125" s="4">
        <f>$M$125*$W$125</f>
        <v>312513.93631999998</v>
      </c>
      <c r="AD125" s="4">
        <f>$O$125*$X$125</f>
        <v>17546.91202</v>
      </c>
      <c r="AE125" s="4">
        <f>$K$125*$Y$125</f>
        <v>0</v>
      </c>
      <c r="AF125" s="4">
        <f ca="1">$M$125*$Z$125</f>
        <v>306735.75444933405</v>
      </c>
      <c r="AG125" s="4">
        <f>$O$125*$AA$125</f>
        <v>15954.384029177589</v>
      </c>
    </row>
    <row r="126" spans="1:33" ht="11.25" customHeight="1" x14ac:dyDescent="0.25">
      <c r="A126" s="3" t="s">
        <v>28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44743</v>
      </c>
      <c r="J126" s="4">
        <v>0</v>
      </c>
      <c r="K126" s="4">
        <v>0</v>
      </c>
      <c r="L126" s="4">
        <v>0.27500000000000002</v>
      </c>
      <c r="M126" s="4">
        <v>0.27500000000000002</v>
      </c>
      <c r="N126" s="4">
        <v>0.27500000000000002</v>
      </c>
      <c r="O126" s="4">
        <v>0.27500000000000002</v>
      </c>
      <c r="P126" s="4">
        <v>0</v>
      </c>
      <c r="Q126" s="3" t="s">
        <v>26</v>
      </c>
      <c r="R126" s="3">
        <v>0</v>
      </c>
      <c r="S126" s="4">
        <v>0</v>
      </c>
      <c r="T126" s="4">
        <v>35</v>
      </c>
      <c r="U126" s="4">
        <v>70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2676.16</v>
      </c>
      <c r="X126" s="4">
        <f>IF(ISERROR(VLOOKUP($U$126,'TAR FIN'!$A$1:$O$88,15,0)),0,VLOOKUP($U$126,'TAR FIN'!$A$1:$O$88,15,0))</f>
        <v>150.26</v>
      </c>
      <c r="Y126" s="4"/>
      <c r="Z126" s="4">
        <f ca="1">('TUSD BE'!$AM$11+'TUSD BF'!$AM$11+'TUSD CVA'!$AM$11)*1</f>
        <v>2626.6795212185111</v>
      </c>
      <c r="AA126" s="4">
        <f>('TE BE'!$AB$5+'TE BF'!$AB$5+'TE CVA'!$AB$5)*1</f>
        <v>136.62265710865657</v>
      </c>
      <c r="AB126" s="4">
        <f>$K$126*$V$126</f>
        <v>0</v>
      </c>
      <c r="AC126" s="4">
        <f>$M$126*$W$126</f>
        <v>735.94400000000007</v>
      </c>
      <c r="AD126" s="4">
        <f>$O$126*$X$126</f>
        <v>41.3215</v>
      </c>
      <c r="AE126" s="4">
        <f>$K$126*$Y$126</f>
        <v>0</v>
      </c>
      <c r="AF126" s="4">
        <f ca="1">$M$126*$Z$126</f>
        <v>722.33686833509057</v>
      </c>
      <c r="AG126" s="4">
        <f>$O$126*$AA$126</f>
        <v>37.571230704880563</v>
      </c>
    </row>
    <row r="127" spans="1:33" ht="11.25" customHeight="1" x14ac:dyDescent="0.25">
      <c r="A127" s="3" t="s">
        <v>55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44774</v>
      </c>
      <c r="J127" s="4">
        <v>0</v>
      </c>
      <c r="K127" s="4">
        <v>0</v>
      </c>
      <c r="L127" s="4">
        <v>116.777</v>
      </c>
      <c r="M127" s="4">
        <v>116.777</v>
      </c>
      <c r="N127" s="4">
        <v>116.777</v>
      </c>
      <c r="O127" s="4">
        <v>116.777</v>
      </c>
      <c r="P127" s="4">
        <v>0</v>
      </c>
      <c r="Q127" s="3" t="s">
        <v>26</v>
      </c>
      <c r="R127" s="3">
        <v>0</v>
      </c>
      <c r="S127" s="4">
        <v>0</v>
      </c>
      <c r="T127" s="4">
        <v>35</v>
      </c>
      <c r="U127" s="4">
        <v>70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2676.16</v>
      </c>
      <c r="X127" s="4">
        <f>IF(ISERROR(VLOOKUP($U$127,'TAR FIN'!$A$1:$O$88,15,0)),0,VLOOKUP($U$127,'TAR FIN'!$A$1:$O$88,15,0))</f>
        <v>150.26</v>
      </c>
      <c r="Y127" s="4"/>
      <c r="Z127" s="4">
        <f ca="1">('TUSD BE'!$AM$11+'TUSD BF'!$AM$11+'TUSD CVA'!$AM$11)*1</f>
        <v>2626.6795212185111</v>
      </c>
      <c r="AA127" s="4">
        <f>('TE BE'!$AB$5+'TE BF'!$AB$5+'TE CVA'!$AB$5)*1</f>
        <v>136.62265710865657</v>
      </c>
      <c r="AB127" s="4">
        <f>$K$127*$V$127</f>
        <v>0</v>
      </c>
      <c r="AC127" s="4">
        <f>$M$127*$W$127</f>
        <v>312513.93631999998</v>
      </c>
      <c r="AD127" s="4">
        <f>$O$127*$X$127</f>
        <v>17546.91202</v>
      </c>
      <c r="AE127" s="4">
        <f>$K$127*$Y$127</f>
        <v>0</v>
      </c>
      <c r="AF127" s="4">
        <f ca="1">$M$127*$Z$127</f>
        <v>306735.75444933405</v>
      </c>
      <c r="AG127" s="4">
        <f>$O$127*$AA$127</f>
        <v>15954.384029177589</v>
      </c>
    </row>
    <row r="128" spans="1:33" ht="11.25" customHeight="1" x14ac:dyDescent="0.25">
      <c r="A128" s="3" t="s">
        <v>55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44774</v>
      </c>
      <c r="J128" s="4">
        <v>0</v>
      </c>
      <c r="K128" s="4">
        <v>0</v>
      </c>
      <c r="L128" s="4">
        <v>0.27500000000000002</v>
      </c>
      <c r="M128" s="4">
        <v>0.27500000000000002</v>
      </c>
      <c r="N128" s="4">
        <v>0.27500000000000002</v>
      </c>
      <c r="O128" s="4">
        <v>0.27500000000000002</v>
      </c>
      <c r="P128" s="4">
        <v>0</v>
      </c>
      <c r="Q128" s="3" t="s">
        <v>26</v>
      </c>
      <c r="R128" s="3">
        <v>0</v>
      </c>
      <c r="S128" s="4">
        <v>0</v>
      </c>
      <c r="T128" s="4">
        <v>35</v>
      </c>
      <c r="U128" s="4">
        <v>70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2676.16</v>
      </c>
      <c r="X128" s="4">
        <f>IF(ISERROR(VLOOKUP($U$128,'TAR FIN'!$A$1:$O$88,15,0)),0,VLOOKUP($U$128,'TAR FIN'!$A$1:$O$88,15,0))</f>
        <v>150.26</v>
      </c>
      <c r="Y128" s="4"/>
      <c r="Z128" s="4">
        <f ca="1">('TUSD BE'!$AM$11+'TUSD BF'!$AM$11+'TUSD CVA'!$AM$11)*1</f>
        <v>2626.6795212185111</v>
      </c>
      <c r="AA128" s="4">
        <f>('TE BE'!$AB$5+'TE BF'!$AB$5+'TE CVA'!$AB$5)*1</f>
        <v>136.62265710865657</v>
      </c>
      <c r="AB128" s="4">
        <f>$K$128*$V$128</f>
        <v>0</v>
      </c>
      <c r="AC128" s="4">
        <f>$M$128*$W$128</f>
        <v>735.94400000000007</v>
      </c>
      <c r="AD128" s="4">
        <f>$O$128*$X$128</f>
        <v>41.3215</v>
      </c>
      <c r="AE128" s="4">
        <f>$K$128*$Y$128</f>
        <v>0</v>
      </c>
      <c r="AF128" s="4">
        <f ca="1">$M$128*$Z$128</f>
        <v>722.33686833509057</v>
      </c>
      <c r="AG128" s="4">
        <f>$O$128*$AA$128</f>
        <v>37.571230704880563</v>
      </c>
    </row>
    <row r="129" spans="1:33" ht="11.25" customHeight="1" x14ac:dyDescent="0.25">
      <c r="A129" s="3" t="s">
        <v>21</v>
      </c>
      <c r="B129" s="3" t="s">
        <v>35</v>
      </c>
      <c r="C129" s="3" t="s">
        <v>39</v>
      </c>
      <c r="D129" s="3" t="s">
        <v>45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44440</v>
      </c>
      <c r="J129" s="4">
        <v>0</v>
      </c>
      <c r="K129" s="4">
        <v>0</v>
      </c>
      <c r="L129" s="4">
        <v>1.8740000000000001</v>
      </c>
      <c r="M129" s="4">
        <v>1.8740000000000001</v>
      </c>
      <c r="N129" s="4">
        <v>1.8740000000000001</v>
      </c>
      <c r="O129" s="4">
        <v>1.8740000000000001</v>
      </c>
      <c r="P129" s="4">
        <v>0</v>
      </c>
      <c r="Q129" s="3" t="s">
        <v>26</v>
      </c>
      <c r="R129" s="3">
        <v>0</v>
      </c>
      <c r="S129" s="4">
        <v>0</v>
      </c>
      <c r="T129" s="4">
        <v>50</v>
      </c>
      <c r="U129" s="4">
        <v>61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60.38</v>
      </c>
      <c r="X129" s="4">
        <f>IF(ISERROR(VLOOKUP($U$129,'TAR FIN'!$A$1:$O$88,15,0)),0,VLOOKUP($U$129,'TAR FIN'!$A$1:$O$88,15,0))</f>
        <v>150.26</v>
      </c>
      <c r="Y129" s="4"/>
      <c r="Z129" s="4">
        <f ca="1">('TUSD BE'!$AM$12+'TUSD BF'!$AM$12+'TUSD CVA'!$AM$12)*1</f>
        <v>94.517694765168258</v>
      </c>
      <c r="AA129" s="4">
        <f>('TE BE'!$AB$6+'TE BF'!$AB$6+'TE CVA'!$AB$6)*1</f>
        <v>136.62265710865657</v>
      </c>
      <c r="AB129" s="4">
        <f>$K$129*$V$129</f>
        <v>0</v>
      </c>
      <c r="AC129" s="4">
        <f>$M$129*$W$129</f>
        <v>113.15212000000001</v>
      </c>
      <c r="AD129" s="4">
        <f>$O$129*$X$129</f>
        <v>281.58724000000001</v>
      </c>
      <c r="AE129" s="4">
        <f>$K$129*$Y$129</f>
        <v>0</v>
      </c>
      <c r="AF129" s="4">
        <f ca="1">$M$129*$Z$129</f>
        <v>177.12615998992533</v>
      </c>
      <c r="AG129" s="4">
        <f>$O$129*$AA$129</f>
        <v>256.03085942162244</v>
      </c>
    </row>
    <row r="130" spans="1:33" ht="11.25" customHeight="1" x14ac:dyDescent="0.25">
      <c r="A130" s="3" t="s">
        <v>21</v>
      </c>
      <c r="B130" s="3" t="s">
        <v>35</v>
      </c>
      <c r="C130" s="3" t="s">
        <v>39</v>
      </c>
      <c r="D130" s="3" t="s">
        <v>45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44470</v>
      </c>
      <c r="J130" s="4">
        <v>0</v>
      </c>
      <c r="K130" s="4">
        <v>0</v>
      </c>
      <c r="L130" s="4">
        <v>2.0419999999999998</v>
      </c>
      <c r="M130" s="4">
        <v>2.0419999999999998</v>
      </c>
      <c r="N130" s="4">
        <v>2.0419999999999998</v>
      </c>
      <c r="O130" s="4">
        <v>2.0419999999999998</v>
      </c>
      <c r="P130" s="4">
        <v>0</v>
      </c>
      <c r="Q130" s="3" t="s">
        <v>26</v>
      </c>
      <c r="R130" s="3">
        <v>0</v>
      </c>
      <c r="S130" s="4">
        <v>0</v>
      </c>
      <c r="T130" s="4">
        <v>50</v>
      </c>
      <c r="U130" s="4">
        <v>61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60.38</v>
      </c>
      <c r="X130" s="4">
        <f>IF(ISERROR(VLOOKUP($U$130,'TAR FIN'!$A$1:$O$88,15,0)),0,VLOOKUP($U$130,'TAR FIN'!$A$1:$O$88,15,0))</f>
        <v>150.26</v>
      </c>
      <c r="Y130" s="4"/>
      <c r="Z130" s="4">
        <f ca="1">('TUSD BE'!$AM$12+'TUSD BF'!$AM$12+'TUSD CVA'!$AM$12)*1</f>
        <v>94.517694765168258</v>
      </c>
      <c r="AA130" s="4">
        <f>('TE BE'!$AB$6+'TE BF'!$AB$6+'TE CVA'!$AB$6)*1</f>
        <v>136.62265710865657</v>
      </c>
      <c r="AB130" s="4">
        <f>$K$130*$V$130</f>
        <v>0</v>
      </c>
      <c r="AC130" s="4">
        <f>$M$130*$W$130</f>
        <v>123.29595999999999</v>
      </c>
      <c r="AD130" s="4">
        <f>$O$130*$X$130</f>
        <v>306.83091999999994</v>
      </c>
      <c r="AE130" s="4">
        <f>$K$130*$Y$130</f>
        <v>0</v>
      </c>
      <c r="AF130" s="4">
        <f ca="1">$M$130*$Z$130</f>
        <v>193.00513271047356</v>
      </c>
      <c r="AG130" s="4">
        <f>$O$130*$AA$130</f>
        <v>278.98346581587668</v>
      </c>
    </row>
    <row r="131" spans="1:33" ht="11.25" customHeight="1" x14ac:dyDescent="0.25">
      <c r="A131" s="3" t="s">
        <v>21</v>
      </c>
      <c r="B131" s="3" t="s">
        <v>35</v>
      </c>
      <c r="C131" s="3" t="s">
        <v>39</v>
      </c>
      <c r="D131" s="3" t="s">
        <v>45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2.0819999999999999</v>
      </c>
      <c r="M131" s="4">
        <v>2.0819999999999999</v>
      </c>
      <c r="N131" s="4">
        <v>2.0819999999999999</v>
      </c>
      <c r="O131" s="4">
        <v>2.0819999999999999</v>
      </c>
      <c r="P131" s="4">
        <v>0</v>
      </c>
      <c r="Q131" s="3" t="s">
        <v>26</v>
      </c>
      <c r="R131" s="3">
        <v>0</v>
      </c>
      <c r="S131" s="4">
        <v>0</v>
      </c>
      <c r="T131" s="4">
        <v>50</v>
      </c>
      <c r="U131" s="4">
        <v>61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60.38</v>
      </c>
      <c r="X131" s="4">
        <f>IF(ISERROR(VLOOKUP($U$131,'TAR FIN'!$A$1:$O$88,15,0)),0,VLOOKUP($U$131,'TAR FIN'!$A$1:$O$88,15,0))</f>
        <v>150.26</v>
      </c>
      <c r="Y131" s="4"/>
      <c r="Z131" s="4">
        <f ca="1">('TUSD BE'!$AM$12+'TUSD BF'!$AM$12+'TUSD CVA'!$AM$12)*1</f>
        <v>94.517694765168258</v>
      </c>
      <c r="AA131" s="4">
        <f>('TE BE'!$AB$6+'TE BF'!$AB$6+'TE CVA'!$AB$6)*1</f>
        <v>136.62265710865657</v>
      </c>
      <c r="AB131" s="4">
        <f>$K$131*$V$131</f>
        <v>0</v>
      </c>
      <c r="AC131" s="4">
        <f>$M$131*$W$131</f>
        <v>125.71115999999999</v>
      </c>
      <c r="AD131" s="4">
        <f>$O$131*$X$131</f>
        <v>312.84131999999994</v>
      </c>
      <c r="AE131" s="4">
        <f>$K$131*$Y$131</f>
        <v>0</v>
      </c>
      <c r="AF131" s="4">
        <f ca="1">$M$131*$Z$131</f>
        <v>196.78584050108029</v>
      </c>
      <c r="AG131" s="4">
        <f>$O$131*$AA$131</f>
        <v>284.44837210022297</v>
      </c>
    </row>
    <row r="132" spans="1:33" ht="11.25" customHeight="1" x14ac:dyDescent="0.25">
      <c r="A132" s="3" t="s">
        <v>21</v>
      </c>
      <c r="B132" s="3" t="s">
        <v>35</v>
      </c>
      <c r="C132" s="3" t="s">
        <v>39</v>
      </c>
      <c r="D132" s="3" t="s">
        <v>45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44531</v>
      </c>
      <c r="J132" s="4">
        <v>0</v>
      </c>
      <c r="K132" s="4">
        <v>0</v>
      </c>
      <c r="L132" s="4">
        <v>2.8079999999999998</v>
      </c>
      <c r="M132" s="4">
        <v>2.8079999999999998</v>
      </c>
      <c r="N132" s="4">
        <v>2.8079999999999998</v>
      </c>
      <c r="O132" s="4">
        <v>2.8079999999999998</v>
      </c>
      <c r="P132" s="4">
        <v>0</v>
      </c>
      <c r="Q132" s="3" t="s">
        <v>26</v>
      </c>
      <c r="R132" s="3">
        <v>0</v>
      </c>
      <c r="S132" s="4">
        <v>0</v>
      </c>
      <c r="T132" s="4">
        <v>50</v>
      </c>
      <c r="U132" s="4">
        <v>61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60.38</v>
      </c>
      <c r="X132" s="4">
        <f>IF(ISERROR(VLOOKUP($U$132,'TAR FIN'!$A$1:$O$88,15,0)),0,VLOOKUP($U$132,'TAR FIN'!$A$1:$O$88,15,0))</f>
        <v>150.26</v>
      </c>
      <c r="Y132" s="4"/>
      <c r="Z132" s="4">
        <f ca="1">('TUSD BE'!$AM$12+'TUSD BF'!$AM$12+'TUSD CVA'!$AM$12)*1</f>
        <v>94.517694765168258</v>
      </c>
      <c r="AA132" s="4">
        <f>('TE BE'!$AB$6+'TE BF'!$AB$6+'TE CVA'!$AB$6)*1</f>
        <v>136.62265710865657</v>
      </c>
      <c r="AB132" s="4">
        <f>$K$132*$V$132</f>
        <v>0</v>
      </c>
      <c r="AC132" s="4">
        <f>$M$132*$W$132</f>
        <v>169.54704000000001</v>
      </c>
      <c r="AD132" s="4">
        <f>$O$132*$X$132</f>
        <v>421.93007999999998</v>
      </c>
      <c r="AE132" s="4">
        <f>$K$132*$Y$132</f>
        <v>0</v>
      </c>
      <c r="AF132" s="4">
        <f ca="1">$M$132*$Z$132</f>
        <v>265.40568690059246</v>
      </c>
      <c r="AG132" s="4">
        <f>$O$132*$AA$132</f>
        <v>383.63642116110765</v>
      </c>
    </row>
    <row r="133" spans="1:33" ht="11.25" customHeight="1" x14ac:dyDescent="0.25">
      <c r="A133" s="3" t="s">
        <v>21</v>
      </c>
      <c r="B133" s="3" t="s">
        <v>35</v>
      </c>
      <c r="C133" s="3" t="s">
        <v>39</v>
      </c>
      <c r="D133" s="3" t="s">
        <v>45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44562</v>
      </c>
      <c r="J133" s="4">
        <v>0</v>
      </c>
      <c r="K133" s="4">
        <v>0</v>
      </c>
      <c r="L133" s="4">
        <v>1.3180000000000001</v>
      </c>
      <c r="M133" s="4">
        <v>1.3180000000000001</v>
      </c>
      <c r="N133" s="4">
        <v>1.3180000000000001</v>
      </c>
      <c r="O133" s="4">
        <v>1.3180000000000001</v>
      </c>
      <c r="P133" s="4">
        <v>0</v>
      </c>
      <c r="Q133" s="3" t="s">
        <v>26</v>
      </c>
      <c r="R133" s="3">
        <v>0</v>
      </c>
      <c r="S133" s="4">
        <v>0</v>
      </c>
      <c r="T133" s="4">
        <v>50</v>
      </c>
      <c r="U133" s="4">
        <v>61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60.38</v>
      </c>
      <c r="X133" s="4">
        <f>IF(ISERROR(VLOOKUP($U$133,'TAR FIN'!$A$1:$O$88,15,0)),0,VLOOKUP($U$133,'TAR FIN'!$A$1:$O$88,15,0))</f>
        <v>150.26</v>
      </c>
      <c r="Y133" s="4"/>
      <c r="Z133" s="4">
        <f ca="1">('TUSD BE'!$AM$12+'TUSD BF'!$AM$12+'TUSD CVA'!$AM$12)*1</f>
        <v>94.517694765168258</v>
      </c>
      <c r="AA133" s="4">
        <f>('TE BE'!$AB$6+'TE BF'!$AB$6+'TE CVA'!$AB$6)*1</f>
        <v>136.62265710865657</v>
      </c>
      <c r="AB133" s="4">
        <f>$K$133*$V$133</f>
        <v>0</v>
      </c>
      <c r="AC133" s="4">
        <f>$M$133*$W$133</f>
        <v>79.580840000000009</v>
      </c>
      <c r="AD133" s="4">
        <f>$O$133*$X$133</f>
        <v>198.04267999999999</v>
      </c>
      <c r="AE133" s="4">
        <f>$K$133*$Y$133</f>
        <v>0</v>
      </c>
      <c r="AF133" s="4">
        <f ca="1">$M$133*$Z$133</f>
        <v>124.57432170049177</v>
      </c>
      <c r="AG133" s="4">
        <f>$O$133*$AA$133</f>
        <v>180.06866206920935</v>
      </c>
    </row>
    <row r="134" spans="1:33" ht="11.25" customHeight="1" x14ac:dyDescent="0.25">
      <c r="A134" s="3" t="s">
        <v>21</v>
      </c>
      <c r="B134" s="3" t="s">
        <v>35</v>
      </c>
      <c r="C134" s="3" t="s">
        <v>39</v>
      </c>
      <c r="D134" s="3" t="s">
        <v>45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44593</v>
      </c>
      <c r="J134" s="4">
        <v>0</v>
      </c>
      <c r="K134" s="4">
        <v>0</v>
      </c>
      <c r="L134" s="4">
        <v>0.60299999999999998</v>
      </c>
      <c r="M134" s="4">
        <v>0.60299999999999998</v>
      </c>
      <c r="N134" s="4">
        <v>0.60299999999999998</v>
      </c>
      <c r="O134" s="4">
        <v>0.60299999999999998</v>
      </c>
      <c r="P134" s="4">
        <v>0</v>
      </c>
      <c r="Q134" s="3" t="s">
        <v>26</v>
      </c>
      <c r="R134" s="3">
        <v>0</v>
      </c>
      <c r="S134" s="4">
        <v>0</v>
      </c>
      <c r="T134" s="4">
        <v>50</v>
      </c>
      <c r="U134" s="4">
        <v>61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60.38</v>
      </c>
      <c r="X134" s="4">
        <f>IF(ISERROR(VLOOKUP($U$134,'TAR FIN'!$A$1:$O$88,15,0)),0,VLOOKUP($U$134,'TAR FIN'!$A$1:$O$88,15,0))</f>
        <v>150.26</v>
      </c>
      <c r="Y134" s="4"/>
      <c r="Z134" s="4">
        <f ca="1">('TUSD BE'!$AM$12+'TUSD BF'!$AM$12+'TUSD CVA'!$AM$12)*1</f>
        <v>94.517694765168258</v>
      </c>
      <c r="AA134" s="4">
        <f>('TE BE'!$AB$6+'TE BF'!$AB$6+'TE CVA'!$AB$6)*1</f>
        <v>136.62265710865657</v>
      </c>
      <c r="AB134" s="4">
        <f>$K$134*$V$134</f>
        <v>0</v>
      </c>
      <c r="AC134" s="4">
        <f>$M$134*$W$134</f>
        <v>36.409140000000001</v>
      </c>
      <c r="AD134" s="4">
        <f>$O$134*$X$134</f>
        <v>90.606779999999986</v>
      </c>
      <c r="AE134" s="4">
        <f>$K$134*$Y$134</f>
        <v>0</v>
      </c>
      <c r="AF134" s="4">
        <f ca="1">$M$134*$Z$134</f>
        <v>56.994169943396457</v>
      </c>
      <c r="AG134" s="4">
        <f>$O$134*$AA$134</f>
        <v>82.383462236519904</v>
      </c>
    </row>
    <row r="135" spans="1:33" ht="11.25" customHeight="1" x14ac:dyDescent="0.25">
      <c r="A135" s="3" t="s">
        <v>21</v>
      </c>
      <c r="B135" s="3" t="s">
        <v>35</v>
      </c>
      <c r="C135" s="3" t="s">
        <v>39</v>
      </c>
      <c r="D135" s="3" t="s">
        <v>45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44621</v>
      </c>
      <c r="J135" s="4">
        <v>0</v>
      </c>
      <c r="K135" s="4">
        <v>0</v>
      </c>
      <c r="L135" s="4">
        <v>2.5779999999999998</v>
      </c>
      <c r="M135" s="4">
        <v>2.5779999999999998</v>
      </c>
      <c r="N135" s="4">
        <v>2.5779999999999998</v>
      </c>
      <c r="O135" s="4">
        <v>2.5779999999999998</v>
      </c>
      <c r="P135" s="4">
        <v>0</v>
      </c>
      <c r="Q135" s="3" t="s">
        <v>26</v>
      </c>
      <c r="R135" s="3">
        <v>0</v>
      </c>
      <c r="S135" s="4">
        <v>0</v>
      </c>
      <c r="T135" s="4">
        <v>50</v>
      </c>
      <c r="U135" s="4">
        <v>61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60.38</v>
      </c>
      <c r="X135" s="4">
        <f>IF(ISERROR(VLOOKUP($U$135,'TAR FIN'!$A$1:$O$88,15,0)),0,VLOOKUP($U$135,'TAR FIN'!$A$1:$O$88,15,0))</f>
        <v>150.26</v>
      </c>
      <c r="Y135" s="4"/>
      <c r="Z135" s="4">
        <f ca="1">('TUSD BE'!$AM$12+'TUSD BF'!$AM$12+'TUSD CVA'!$AM$12)*1</f>
        <v>94.517694765168258</v>
      </c>
      <c r="AA135" s="4">
        <f>('TE BE'!$AB$6+'TE BF'!$AB$6+'TE CVA'!$AB$6)*1</f>
        <v>136.62265710865657</v>
      </c>
      <c r="AB135" s="4">
        <f>$K$135*$V$135</f>
        <v>0</v>
      </c>
      <c r="AC135" s="4">
        <f>$M$135*$W$135</f>
        <v>155.65964</v>
      </c>
      <c r="AD135" s="4">
        <f>$O$135*$X$135</f>
        <v>387.37027999999998</v>
      </c>
      <c r="AE135" s="4">
        <f>$K$135*$Y$135</f>
        <v>0</v>
      </c>
      <c r="AF135" s="4">
        <f ca="1">$M$135*$Z$135</f>
        <v>243.66661710460374</v>
      </c>
      <c r="AG135" s="4">
        <f>$O$135*$AA$135</f>
        <v>352.2132100261166</v>
      </c>
    </row>
    <row r="136" spans="1:33" ht="11.25" customHeight="1" x14ac:dyDescent="0.25">
      <c r="A136" s="3" t="s">
        <v>21</v>
      </c>
      <c r="B136" s="3" t="s">
        <v>35</v>
      </c>
      <c r="C136" s="3" t="s">
        <v>39</v>
      </c>
      <c r="D136" s="3" t="s">
        <v>45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44652</v>
      </c>
      <c r="J136" s="4">
        <v>0</v>
      </c>
      <c r="K136" s="4">
        <v>0</v>
      </c>
      <c r="L136" s="4">
        <v>4.1619999999999999</v>
      </c>
      <c r="M136" s="4">
        <v>4.1619999999999999</v>
      </c>
      <c r="N136" s="4">
        <v>4.1619999999999999</v>
      </c>
      <c r="O136" s="4">
        <v>4.1619999999999999</v>
      </c>
      <c r="P136" s="4">
        <v>0</v>
      </c>
      <c r="Q136" s="3" t="s">
        <v>26</v>
      </c>
      <c r="R136" s="3">
        <v>0</v>
      </c>
      <c r="S136" s="4">
        <v>0</v>
      </c>
      <c r="T136" s="4">
        <v>50</v>
      </c>
      <c r="U136" s="4">
        <v>61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60.38</v>
      </c>
      <c r="X136" s="4">
        <f>IF(ISERROR(VLOOKUP($U$136,'TAR FIN'!$A$1:$O$88,15,0)),0,VLOOKUP($U$136,'TAR FIN'!$A$1:$O$88,15,0))</f>
        <v>150.26</v>
      </c>
      <c r="Y136" s="4"/>
      <c r="Z136" s="4">
        <f ca="1">('TUSD BE'!$AM$12+'TUSD BF'!$AM$12+'TUSD CVA'!$AM$12)*1</f>
        <v>94.517694765168258</v>
      </c>
      <c r="AA136" s="4">
        <f>('TE BE'!$AB$6+'TE BF'!$AB$6+'TE CVA'!$AB$6)*1</f>
        <v>136.62265710865657</v>
      </c>
      <c r="AB136" s="4">
        <f>$K$136*$V$136</f>
        <v>0</v>
      </c>
      <c r="AC136" s="4">
        <f>$M$136*$W$136</f>
        <v>251.30155999999999</v>
      </c>
      <c r="AD136" s="4">
        <f>$O$136*$X$136</f>
        <v>625.38211999999999</v>
      </c>
      <c r="AE136" s="4">
        <f>$K$136*$Y$136</f>
        <v>0</v>
      </c>
      <c r="AF136" s="4">
        <f ca="1">$M$136*$Z$136</f>
        <v>393.38264561263026</v>
      </c>
      <c r="AG136" s="4">
        <f>$O$136*$AA$136</f>
        <v>568.62349888622862</v>
      </c>
    </row>
    <row r="137" spans="1:33" ht="11.25" customHeight="1" x14ac:dyDescent="0.25">
      <c r="A137" s="3" t="s">
        <v>21</v>
      </c>
      <c r="B137" s="3" t="s">
        <v>35</v>
      </c>
      <c r="C137" s="3" t="s">
        <v>39</v>
      </c>
      <c r="D137" s="3" t="s">
        <v>45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44682</v>
      </c>
      <c r="J137" s="4">
        <v>0</v>
      </c>
      <c r="K137" s="4">
        <v>0</v>
      </c>
      <c r="L137" s="4">
        <v>1.706</v>
      </c>
      <c r="M137" s="4">
        <v>1.706</v>
      </c>
      <c r="N137" s="4">
        <v>1.706</v>
      </c>
      <c r="O137" s="4">
        <v>1.706</v>
      </c>
      <c r="P137" s="4">
        <v>0</v>
      </c>
      <c r="Q137" s="3" t="s">
        <v>26</v>
      </c>
      <c r="R137" s="3">
        <v>0</v>
      </c>
      <c r="S137" s="4">
        <v>0</v>
      </c>
      <c r="T137" s="4">
        <v>50</v>
      </c>
      <c r="U137" s="4">
        <v>61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60.38</v>
      </c>
      <c r="X137" s="4">
        <f>IF(ISERROR(VLOOKUP($U$137,'TAR FIN'!$A$1:$O$88,15,0)),0,VLOOKUP($U$137,'TAR FIN'!$A$1:$O$88,15,0))</f>
        <v>150.26</v>
      </c>
      <c r="Y137" s="4"/>
      <c r="Z137" s="4">
        <f ca="1">('TUSD BE'!$AM$12+'TUSD BF'!$AM$12+'TUSD CVA'!$AM$12)*1</f>
        <v>94.517694765168258</v>
      </c>
      <c r="AA137" s="4">
        <f>('TE BE'!$AB$6+'TE BF'!$AB$6+'TE CVA'!$AB$6)*1</f>
        <v>136.62265710865657</v>
      </c>
      <c r="AB137" s="4">
        <f>$K$137*$V$137</f>
        <v>0</v>
      </c>
      <c r="AC137" s="4">
        <f>$M$137*$W$137</f>
        <v>103.00828</v>
      </c>
      <c r="AD137" s="4">
        <f>$O$137*$X$137</f>
        <v>256.34355999999997</v>
      </c>
      <c r="AE137" s="4">
        <f>$K$137*$Y$137</f>
        <v>0</v>
      </c>
      <c r="AF137" s="4">
        <f ca="1">$M$137*$Z$137</f>
        <v>161.24718726937704</v>
      </c>
      <c r="AG137" s="4">
        <f>$O$137*$AA$137</f>
        <v>233.07825302736811</v>
      </c>
    </row>
    <row r="138" spans="1:33" ht="11.25" customHeight="1" x14ac:dyDescent="0.25">
      <c r="A138" s="3" t="s">
        <v>21</v>
      </c>
      <c r="B138" s="3" t="s">
        <v>35</v>
      </c>
      <c r="C138" s="3" t="s">
        <v>39</v>
      </c>
      <c r="D138" s="3" t="s">
        <v>45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44713</v>
      </c>
      <c r="J138" s="4">
        <v>0</v>
      </c>
      <c r="K138" s="4">
        <v>0</v>
      </c>
      <c r="L138" s="4">
        <v>1.6539999999999999</v>
      </c>
      <c r="M138" s="4">
        <v>1.6539999999999999</v>
      </c>
      <c r="N138" s="4">
        <v>1.6539999999999999</v>
      </c>
      <c r="O138" s="4">
        <v>1.6539999999999999</v>
      </c>
      <c r="P138" s="4">
        <v>0</v>
      </c>
      <c r="Q138" s="3" t="s">
        <v>26</v>
      </c>
      <c r="R138" s="3">
        <v>0</v>
      </c>
      <c r="S138" s="4">
        <v>0</v>
      </c>
      <c r="T138" s="4">
        <v>50</v>
      </c>
      <c r="U138" s="4">
        <v>61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60.38</v>
      </c>
      <c r="X138" s="4">
        <f>IF(ISERROR(VLOOKUP($U$138,'TAR FIN'!$A$1:$O$88,15,0)),0,VLOOKUP($U$138,'TAR FIN'!$A$1:$O$88,15,0))</f>
        <v>150.26</v>
      </c>
      <c r="Y138" s="4"/>
      <c r="Z138" s="4">
        <f ca="1">('TUSD BE'!$AM$12+'TUSD BF'!$AM$12+'TUSD CVA'!$AM$12)*1</f>
        <v>94.517694765168258</v>
      </c>
      <c r="AA138" s="4">
        <f>('TE BE'!$AB$6+'TE BF'!$AB$6+'TE CVA'!$AB$6)*1</f>
        <v>136.62265710865657</v>
      </c>
      <c r="AB138" s="4">
        <f>$K$138*$V$138</f>
        <v>0</v>
      </c>
      <c r="AC138" s="4">
        <f>$M$138*$W$138</f>
        <v>99.868520000000004</v>
      </c>
      <c r="AD138" s="4">
        <f>$O$138*$X$138</f>
        <v>248.53003999999999</v>
      </c>
      <c r="AE138" s="4">
        <f>$K$138*$Y$138</f>
        <v>0</v>
      </c>
      <c r="AF138" s="4">
        <f ca="1">$M$138*$Z$138</f>
        <v>156.33226714158829</v>
      </c>
      <c r="AG138" s="4">
        <f>$O$138*$AA$138</f>
        <v>225.97387485771796</v>
      </c>
    </row>
    <row r="139" spans="1:33" ht="11.25" customHeight="1" x14ac:dyDescent="0.25">
      <c r="A139" s="3" t="s">
        <v>21</v>
      </c>
      <c r="B139" s="3" t="s">
        <v>35</v>
      </c>
      <c r="C139" s="3" t="s">
        <v>39</v>
      </c>
      <c r="D139" s="3" t="s">
        <v>45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44743</v>
      </c>
      <c r="J139" s="4">
        <v>0</v>
      </c>
      <c r="K139" s="4">
        <v>0</v>
      </c>
      <c r="L139" s="4">
        <v>1.732</v>
      </c>
      <c r="M139" s="4">
        <v>1.732</v>
      </c>
      <c r="N139" s="4">
        <v>1.732</v>
      </c>
      <c r="O139" s="4">
        <v>1.732</v>
      </c>
      <c r="P139" s="4">
        <v>0</v>
      </c>
      <c r="Q139" s="3" t="s">
        <v>26</v>
      </c>
      <c r="R139" s="3">
        <v>0</v>
      </c>
      <c r="S139" s="4">
        <v>0</v>
      </c>
      <c r="T139" s="4">
        <v>50</v>
      </c>
      <c r="U139" s="4">
        <v>61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60.38</v>
      </c>
      <c r="X139" s="4">
        <f>IF(ISERROR(VLOOKUP($U$139,'TAR FIN'!$A$1:$O$88,15,0)),0,VLOOKUP($U$139,'TAR FIN'!$A$1:$O$88,15,0))</f>
        <v>150.26</v>
      </c>
      <c r="Y139" s="4"/>
      <c r="Z139" s="4">
        <f ca="1">('TUSD BE'!$AM$12+'TUSD BF'!$AM$12+'TUSD CVA'!$AM$12)*1</f>
        <v>94.517694765168258</v>
      </c>
      <c r="AA139" s="4">
        <f>('TE BE'!$AB$6+'TE BF'!$AB$6+'TE CVA'!$AB$6)*1</f>
        <v>136.62265710865657</v>
      </c>
      <c r="AB139" s="4">
        <f>$K$139*$V$139</f>
        <v>0</v>
      </c>
      <c r="AC139" s="4">
        <f>$M$139*$W$139</f>
        <v>104.57816</v>
      </c>
      <c r="AD139" s="4">
        <f>$O$139*$X$139</f>
        <v>260.25031999999999</v>
      </c>
      <c r="AE139" s="4">
        <f>$K$139*$Y$139</f>
        <v>0</v>
      </c>
      <c r="AF139" s="4">
        <f ca="1">$M$139*$Z$139</f>
        <v>163.70464733327142</v>
      </c>
      <c r="AG139" s="4">
        <f>$O$139*$AA$139</f>
        <v>236.63044211219318</v>
      </c>
    </row>
    <row r="140" spans="1:33" ht="11.25" customHeight="1" x14ac:dyDescent="0.25">
      <c r="A140" s="3" t="s">
        <v>55</v>
      </c>
      <c r="B140" s="3" t="s">
        <v>35</v>
      </c>
      <c r="C140" s="3" t="s">
        <v>39</v>
      </c>
      <c r="D140" s="3" t="s">
        <v>45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44774</v>
      </c>
      <c r="J140" s="4">
        <v>0</v>
      </c>
      <c r="K140" s="4">
        <v>0</v>
      </c>
      <c r="L140" s="4">
        <v>1.732</v>
      </c>
      <c r="M140" s="4">
        <v>1.732</v>
      </c>
      <c r="N140" s="4">
        <v>1.732</v>
      </c>
      <c r="O140" s="4">
        <v>1.732</v>
      </c>
      <c r="P140" s="4">
        <v>0</v>
      </c>
      <c r="Q140" s="3" t="s">
        <v>26</v>
      </c>
      <c r="R140" s="3">
        <v>0</v>
      </c>
      <c r="S140" s="4">
        <v>0</v>
      </c>
      <c r="T140" s="4">
        <v>50</v>
      </c>
      <c r="U140" s="4">
        <v>61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60.38</v>
      </c>
      <c r="X140" s="4">
        <f>IF(ISERROR(VLOOKUP($U$140,'TAR FIN'!$A$1:$O$88,15,0)),0,VLOOKUP($U$140,'TAR FIN'!$A$1:$O$88,15,0))</f>
        <v>150.26</v>
      </c>
      <c r="Y140" s="4"/>
      <c r="Z140" s="4">
        <f ca="1">('TUSD BE'!$AM$12+'TUSD BF'!$AM$12+'TUSD CVA'!$AM$12)*1</f>
        <v>94.517694765168258</v>
      </c>
      <c r="AA140" s="4">
        <f>('TE BE'!$AB$6+'TE BF'!$AB$6+'TE CVA'!$AB$6)*1</f>
        <v>136.62265710865657</v>
      </c>
      <c r="AB140" s="4">
        <f>$K$140*$V$140</f>
        <v>0</v>
      </c>
      <c r="AC140" s="4">
        <f>$M$140*$W$140</f>
        <v>104.57816</v>
      </c>
      <c r="AD140" s="4">
        <f>$O$140*$X$140</f>
        <v>260.25031999999999</v>
      </c>
      <c r="AE140" s="4">
        <f>$K$140*$Y$140</f>
        <v>0</v>
      </c>
      <c r="AF140" s="4">
        <f ca="1">$M$140*$Z$140</f>
        <v>163.70464733327142</v>
      </c>
      <c r="AG140" s="4">
        <f>$O$140*$AA$140</f>
        <v>236.63044211219318</v>
      </c>
    </row>
    <row r="141" spans="1:33" ht="11.25" customHeight="1" x14ac:dyDescent="0.25">
      <c r="A141" s="3" t="s">
        <v>21</v>
      </c>
      <c r="B141" s="3" t="s">
        <v>35</v>
      </c>
      <c r="C141" s="3" t="s">
        <v>39</v>
      </c>
      <c r="D141" s="3" t="s">
        <v>45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44440</v>
      </c>
      <c r="J141" s="4">
        <v>75</v>
      </c>
      <c r="K141" s="4">
        <v>75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3" t="s">
        <v>26</v>
      </c>
      <c r="R141" s="3">
        <v>0</v>
      </c>
      <c r="S141" s="4">
        <v>46</v>
      </c>
      <c r="T141" s="4">
        <v>0</v>
      </c>
      <c r="U141" s="4">
        <v>0</v>
      </c>
      <c r="V141" s="4">
        <f>IF(ISERROR(VLOOKUP($S$141,'TAR FIN'!$A$1:$O$88,15,0)),0,VLOOKUP($S$141,'TAR FIN'!$A$1:$O$88,15,0))</f>
        <v>34.479999999999997</v>
      </c>
      <c r="W141" s="4">
        <f>IF(ISERROR(VLOOKUP($T$141,'TAR FIN'!$A$1:$O$88,15,0)),0,VLOOKUP($T$141,'TAR FIN'!$A$1:$O$88,15,0))</f>
        <v>0</v>
      </c>
      <c r="X141" s="4">
        <f>IF(ISERROR(VLOOKUP($U$141,'TAR FIN'!$A$1:$O$88,15,0)),0,VLOOKUP($U$141,'TAR FIN'!$A$1:$O$88,15,0))</f>
        <v>0</v>
      </c>
      <c r="Y141" s="4">
        <f ca="1">('TUSD BE'!$AM$10+'TUSD BF'!$AM$10+'TUSD CVA'!$AM$10)*1</f>
        <v>37.721850071081427</v>
      </c>
      <c r="Z141" s="4"/>
      <c r="AA141" s="4"/>
      <c r="AB141" s="4">
        <f>$K$141*$V$141</f>
        <v>2585.9999999999995</v>
      </c>
      <c r="AC141" s="4">
        <f>$M$141*$W$141</f>
        <v>0</v>
      </c>
      <c r="AD141" s="4">
        <f>$O$141*$X$141</f>
        <v>0</v>
      </c>
      <c r="AE141" s="4">
        <f ca="1">$K$141*$Y$141</f>
        <v>2829.1387553311069</v>
      </c>
      <c r="AF141" s="4">
        <f>$M$141*$Z$141</f>
        <v>0</v>
      </c>
      <c r="AG141" s="4">
        <f>$O$141*$AA$141</f>
        <v>0</v>
      </c>
    </row>
    <row r="142" spans="1:33" ht="11.25" customHeight="1" x14ac:dyDescent="0.25">
      <c r="A142" s="3" t="s">
        <v>21</v>
      </c>
      <c r="B142" s="3" t="s">
        <v>35</v>
      </c>
      <c r="C142" s="3" t="s">
        <v>39</v>
      </c>
      <c r="D142" s="3" t="s">
        <v>45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44470</v>
      </c>
      <c r="J142" s="4">
        <v>75</v>
      </c>
      <c r="K142" s="4">
        <v>75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4">
        <v>46</v>
      </c>
      <c r="T142" s="4">
        <v>0</v>
      </c>
      <c r="U142" s="4">
        <v>0</v>
      </c>
      <c r="V142" s="4">
        <f>IF(ISERROR(VLOOKUP($S$142,'TAR FIN'!$A$1:$O$88,15,0)),0,VLOOKUP($S$142,'TAR FIN'!$A$1:$O$88,15,0))</f>
        <v>34.479999999999997</v>
      </c>
      <c r="W142" s="4">
        <f>IF(ISERROR(VLOOKUP($T$142,'TAR FIN'!$A$1:$O$88,15,0)),0,VLOOKUP($T$142,'TAR FIN'!$A$1:$O$88,15,0))</f>
        <v>0</v>
      </c>
      <c r="X142" s="4">
        <f>IF(ISERROR(VLOOKUP($U$142,'TAR FIN'!$A$1:$O$88,15,0)),0,VLOOKUP($U$142,'TAR FIN'!$A$1:$O$88,15,0))</f>
        <v>0</v>
      </c>
      <c r="Y142" s="4">
        <f ca="1">('TUSD BE'!$AM$10+'TUSD BF'!$AM$10+'TUSD CVA'!$AM$10)*1</f>
        <v>37.721850071081427</v>
      </c>
      <c r="Z142" s="4"/>
      <c r="AA142" s="4"/>
      <c r="AB142" s="4">
        <f>$K$142*$V$142</f>
        <v>2585.9999999999995</v>
      </c>
      <c r="AC142" s="4">
        <f>$M$142*$W$142</f>
        <v>0</v>
      </c>
      <c r="AD142" s="4">
        <f>$O$142*$X$142</f>
        <v>0</v>
      </c>
      <c r="AE142" s="4">
        <f ca="1">$K$142*$Y$142</f>
        <v>2829.1387553311069</v>
      </c>
      <c r="AF142" s="4">
        <f>$M$142*$Z$142</f>
        <v>0</v>
      </c>
      <c r="AG142" s="4">
        <f>$O$142*$AA$142</f>
        <v>0</v>
      </c>
    </row>
    <row r="143" spans="1:33" ht="11.25" customHeight="1" x14ac:dyDescent="0.25">
      <c r="A143" s="3" t="s">
        <v>21</v>
      </c>
      <c r="B143" s="3" t="s">
        <v>35</v>
      </c>
      <c r="C143" s="3" t="s">
        <v>39</v>
      </c>
      <c r="D143" s="3" t="s">
        <v>45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44501</v>
      </c>
      <c r="J143" s="4">
        <v>75</v>
      </c>
      <c r="K143" s="4">
        <v>75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3" t="s">
        <v>26</v>
      </c>
      <c r="R143" s="3">
        <v>0</v>
      </c>
      <c r="S143" s="4">
        <v>46</v>
      </c>
      <c r="T143" s="4">
        <v>0</v>
      </c>
      <c r="U143" s="4">
        <v>0</v>
      </c>
      <c r="V143" s="4">
        <f>IF(ISERROR(VLOOKUP($S$143,'TAR FIN'!$A$1:$O$88,15,0)),0,VLOOKUP($S$143,'TAR FIN'!$A$1:$O$88,15,0))</f>
        <v>34.479999999999997</v>
      </c>
      <c r="W143" s="4">
        <f>IF(ISERROR(VLOOKUP($T$143,'TAR FIN'!$A$1:$O$88,15,0)),0,VLOOKUP($T$143,'TAR FIN'!$A$1:$O$88,15,0))</f>
        <v>0</v>
      </c>
      <c r="X143" s="4">
        <f>IF(ISERROR(VLOOKUP($U$143,'TAR FIN'!$A$1:$O$88,15,0)),0,VLOOKUP($U$143,'TAR FIN'!$A$1:$O$88,15,0))</f>
        <v>0</v>
      </c>
      <c r="Y143" s="4">
        <f ca="1">('TUSD BE'!$AM$10+'TUSD BF'!$AM$10+'TUSD CVA'!$AM$10)*1</f>
        <v>37.721850071081427</v>
      </c>
      <c r="Z143" s="4"/>
      <c r="AA143" s="4"/>
      <c r="AB143" s="4">
        <f>$K$143*$V$143</f>
        <v>2585.9999999999995</v>
      </c>
      <c r="AC143" s="4">
        <f>$M$143*$W$143</f>
        <v>0</v>
      </c>
      <c r="AD143" s="4">
        <f>$O$143*$X$143</f>
        <v>0</v>
      </c>
      <c r="AE143" s="4">
        <f ca="1">$K$143*$Y$143</f>
        <v>2829.1387553311069</v>
      </c>
      <c r="AF143" s="4">
        <f>$M$143*$Z$143</f>
        <v>0</v>
      </c>
      <c r="AG143" s="4">
        <f>$O$143*$AA$143</f>
        <v>0</v>
      </c>
    </row>
    <row r="144" spans="1:33" ht="11.25" customHeight="1" x14ac:dyDescent="0.25">
      <c r="A144" s="3" t="s">
        <v>21</v>
      </c>
      <c r="B144" s="3" t="s">
        <v>35</v>
      </c>
      <c r="C144" s="3" t="s">
        <v>39</v>
      </c>
      <c r="D144" s="3" t="s">
        <v>45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44531</v>
      </c>
      <c r="J144" s="4">
        <v>75</v>
      </c>
      <c r="K144" s="4">
        <v>75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4">
        <v>46</v>
      </c>
      <c r="T144" s="4">
        <v>0</v>
      </c>
      <c r="U144" s="4">
        <v>0</v>
      </c>
      <c r="V144" s="4">
        <f>IF(ISERROR(VLOOKUP($S$144,'TAR FIN'!$A$1:$O$88,15,0)),0,VLOOKUP($S$144,'TAR FIN'!$A$1:$O$88,15,0))</f>
        <v>34.479999999999997</v>
      </c>
      <c r="W144" s="4">
        <f>IF(ISERROR(VLOOKUP($T$144,'TAR FIN'!$A$1:$O$88,15,0)),0,VLOOKUP($T$144,'TAR FIN'!$A$1:$O$88,15,0))</f>
        <v>0</v>
      </c>
      <c r="X144" s="4">
        <f>IF(ISERROR(VLOOKUP($U$144,'TAR FIN'!$A$1:$O$88,15,0)),0,VLOOKUP($U$144,'TAR FIN'!$A$1:$O$88,15,0))</f>
        <v>0</v>
      </c>
      <c r="Y144" s="4">
        <f ca="1">('TUSD BE'!$AM$10+'TUSD BF'!$AM$10+'TUSD CVA'!$AM$10)*1</f>
        <v>37.721850071081427</v>
      </c>
      <c r="Z144" s="4"/>
      <c r="AA144" s="4"/>
      <c r="AB144" s="4">
        <f>$K$144*$V$144</f>
        <v>2585.9999999999995</v>
      </c>
      <c r="AC144" s="4">
        <f>$M$144*$W$144</f>
        <v>0</v>
      </c>
      <c r="AD144" s="4">
        <f>$O$144*$X$144</f>
        <v>0</v>
      </c>
      <c r="AE144" s="4">
        <f ca="1">$K$144*$Y$144</f>
        <v>2829.1387553311069</v>
      </c>
      <c r="AF144" s="4">
        <f>$M$144*$Z$144</f>
        <v>0</v>
      </c>
      <c r="AG144" s="4">
        <f>$O$144*$AA$144</f>
        <v>0</v>
      </c>
    </row>
    <row r="145" spans="1:33" ht="11.25" customHeight="1" x14ac:dyDescent="0.25">
      <c r="A145" s="3" t="s">
        <v>21</v>
      </c>
      <c r="B145" s="3" t="s">
        <v>35</v>
      </c>
      <c r="C145" s="3" t="s">
        <v>39</v>
      </c>
      <c r="D145" s="3" t="s">
        <v>45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44562</v>
      </c>
      <c r="J145" s="4">
        <v>75</v>
      </c>
      <c r="K145" s="4">
        <v>75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3" t="s">
        <v>26</v>
      </c>
      <c r="R145" s="3">
        <v>0</v>
      </c>
      <c r="S145" s="4">
        <v>46</v>
      </c>
      <c r="T145" s="4">
        <v>0</v>
      </c>
      <c r="U145" s="4">
        <v>0</v>
      </c>
      <c r="V145" s="4">
        <f>IF(ISERROR(VLOOKUP($S$145,'TAR FIN'!$A$1:$O$88,15,0)),0,VLOOKUP($S$145,'TAR FIN'!$A$1:$O$88,15,0))</f>
        <v>34.479999999999997</v>
      </c>
      <c r="W145" s="4">
        <f>IF(ISERROR(VLOOKUP($T$145,'TAR FIN'!$A$1:$O$88,15,0)),0,VLOOKUP($T$145,'TAR FIN'!$A$1:$O$88,15,0))</f>
        <v>0</v>
      </c>
      <c r="X145" s="4">
        <f>IF(ISERROR(VLOOKUP($U$145,'TAR FIN'!$A$1:$O$88,15,0)),0,VLOOKUP($U$145,'TAR FIN'!$A$1:$O$88,15,0))</f>
        <v>0</v>
      </c>
      <c r="Y145" s="4">
        <f ca="1">('TUSD BE'!$AM$10+'TUSD BF'!$AM$10+'TUSD CVA'!$AM$10)*1</f>
        <v>37.721850071081427</v>
      </c>
      <c r="Z145" s="4"/>
      <c r="AA145" s="4"/>
      <c r="AB145" s="4">
        <f>$K$145*$V$145</f>
        <v>2585.9999999999995</v>
      </c>
      <c r="AC145" s="4">
        <f>$M$145*$W$145</f>
        <v>0</v>
      </c>
      <c r="AD145" s="4">
        <f>$O$145*$X$145</f>
        <v>0</v>
      </c>
      <c r="AE145" s="4">
        <f ca="1">$K$145*$Y$145</f>
        <v>2829.1387553311069</v>
      </c>
      <c r="AF145" s="4">
        <f>$M$145*$Z$145</f>
        <v>0</v>
      </c>
      <c r="AG145" s="4">
        <f>$O$145*$AA$145</f>
        <v>0</v>
      </c>
    </row>
    <row r="146" spans="1:33" ht="11.25" customHeight="1" x14ac:dyDescent="0.25">
      <c r="A146" s="3" t="s">
        <v>21</v>
      </c>
      <c r="B146" s="3" t="s">
        <v>35</v>
      </c>
      <c r="C146" s="3" t="s">
        <v>39</v>
      </c>
      <c r="D146" s="3" t="s">
        <v>45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44593</v>
      </c>
      <c r="J146" s="4">
        <v>75</v>
      </c>
      <c r="K146" s="4">
        <v>75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4">
        <v>46</v>
      </c>
      <c r="T146" s="4">
        <v>0</v>
      </c>
      <c r="U146" s="4">
        <v>0</v>
      </c>
      <c r="V146" s="4">
        <f>IF(ISERROR(VLOOKUP($S$146,'TAR FIN'!$A$1:$O$88,15,0)),0,VLOOKUP($S$146,'TAR FIN'!$A$1:$O$88,15,0))</f>
        <v>34.479999999999997</v>
      </c>
      <c r="W146" s="4">
        <f>IF(ISERROR(VLOOKUP($T$146,'TAR FIN'!$A$1:$O$88,15,0)),0,VLOOKUP($T$146,'TAR FIN'!$A$1:$O$88,15,0))</f>
        <v>0</v>
      </c>
      <c r="X146" s="4">
        <f>IF(ISERROR(VLOOKUP($U$146,'TAR FIN'!$A$1:$O$88,15,0)),0,VLOOKUP($U$146,'TAR FIN'!$A$1:$O$88,15,0))</f>
        <v>0</v>
      </c>
      <c r="Y146" s="4">
        <f ca="1">('TUSD BE'!$AM$10+'TUSD BF'!$AM$10+'TUSD CVA'!$AM$10)*1</f>
        <v>37.721850071081427</v>
      </c>
      <c r="Z146" s="4"/>
      <c r="AA146" s="4"/>
      <c r="AB146" s="4">
        <f>$K$146*$V$146</f>
        <v>2585.9999999999995</v>
      </c>
      <c r="AC146" s="4">
        <f>$M$146*$W$146</f>
        <v>0</v>
      </c>
      <c r="AD146" s="4">
        <f>$O$146*$X$146</f>
        <v>0</v>
      </c>
      <c r="AE146" s="4">
        <f ca="1">$K$146*$Y$146</f>
        <v>2829.1387553311069</v>
      </c>
      <c r="AF146" s="4">
        <f>$M$146*$Z$146</f>
        <v>0</v>
      </c>
      <c r="AG146" s="4">
        <f>$O$146*$AA$146</f>
        <v>0</v>
      </c>
    </row>
    <row r="147" spans="1:33" ht="11.25" customHeight="1" x14ac:dyDescent="0.25">
      <c r="A147" s="3" t="s">
        <v>21</v>
      </c>
      <c r="B147" s="3" t="s">
        <v>35</v>
      </c>
      <c r="C147" s="3" t="s">
        <v>39</v>
      </c>
      <c r="D147" s="3" t="s">
        <v>45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75</v>
      </c>
      <c r="K147" s="4">
        <v>75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3" t="s">
        <v>26</v>
      </c>
      <c r="R147" s="3">
        <v>0</v>
      </c>
      <c r="S147" s="4">
        <v>46</v>
      </c>
      <c r="T147" s="4">
        <v>0</v>
      </c>
      <c r="U147" s="4">
        <v>0</v>
      </c>
      <c r="V147" s="4">
        <f>IF(ISERROR(VLOOKUP($S$147,'TAR FIN'!$A$1:$O$88,15,0)),0,VLOOKUP($S$147,'TAR FIN'!$A$1:$O$88,15,0))</f>
        <v>34.479999999999997</v>
      </c>
      <c r="W147" s="4">
        <f>IF(ISERROR(VLOOKUP($T$147,'TAR FIN'!$A$1:$O$88,15,0)),0,VLOOKUP($T$147,'TAR FIN'!$A$1:$O$88,15,0))</f>
        <v>0</v>
      </c>
      <c r="X147" s="4">
        <f>IF(ISERROR(VLOOKUP($U$147,'TAR FIN'!$A$1:$O$88,15,0)),0,VLOOKUP($U$147,'TAR FIN'!$A$1:$O$88,15,0))</f>
        <v>0</v>
      </c>
      <c r="Y147" s="4">
        <f ca="1">('TUSD BE'!$AM$10+'TUSD BF'!$AM$10+'TUSD CVA'!$AM$10)*1</f>
        <v>37.721850071081427</v>
      </c>
      <c r="Z147" s="4"/>
      <c r="AA147" s="4"/>
      <c r="AB147" s="4">
        <f>$K$147*$V$147</f>
        <v>2585.9999999999995</v>
      </c>
      <c r="AC147" s="4">
        <f>$M$147*$W$147</f>
        <v>0</v>
      </c>
      <c r="AD147" s="4">
        <f>$O$147*$X$147</f>
        <v>0</v>
      </c>
      <c r="AE147" s="4">
        <f ca="1">$K$147*$Y$147</f>
        <v>2829.1387553311069</v>
      </c>
      <c r="AF147" s="4">
        <f>$M$147*$Z$147</f>
        <v>0</v>
      </c>
      <c r="AG147" s="4">
        <f>$O$147*$AA$147</f>
        <v>0</v>
      </c>
    </row>
    <row r="148" spans="1:33" ht="11.25" customHeight="1" x14ac:dyDescent="0.25">
      <c r="A148" s="3" t="s">
        <v>21</v>
      </c>
      <c r="B148" s="3" t="s">
        <v>35</v>
      </c>
      <c r="C148" s="3" t="s">
        <v>39</v>
      </c>
      <c r="D148" s="3" t="s">
        <v>45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75</v>
      </c>
      <c r="K148" s="4">
        <v>75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4">
        <v>46</v>
      </c>
      <c r="T148" s="4">
        <v>0</v>
      </c>
      <c r="U148" s="4">
        <v>0</v>
      </c>
      <c r="V148" s="4">
        <f>IF(ISERROR(VLOOKUP($S$148,'TAR FIN'!$A$1:$O$88,15,0)),0,VLOOKUP($S$148,'TAR FIN'!$A$1:$O$88,15,0))</f>
        <v>34.479999999999997</v>
      </c>
      <c r="W148" s="4">
        <f>IF(ISERROR(VLOOKUP($T$148,'TAR FIN'!$A$1:$O$88,15,0)),0,VLOOKUP($T$148,'TAR FIN'!$A$1:$O$88,15,0))</f>
        <v>0</v>
      </c>
      <c r="X148" s="4">
        <f>IF(ISERROR(VLOOKUP($U$148,'TAR FIN'!$A$1:$O$88,15,0)),0,VLOOKUP($U$148,'TAR FIN'!$A$1:$O$88,15,0))</f>
        <v>0</v>
      </c>
      <c r="Y148" s="4">
        <f ca="1">('TUSD BE'!$AM$10+'TUSD BF'!$AM$10+'TUSD CVA'!$AM$10)*1</f>
        <v>37.721850071081427</v>
      </c>
      <c r="Z148" s="4"/>
      <c r="AA148" s="4"/>
      <c r="AB148" s="4">
        <f>$K$148*$V$148</f>
        <v>2585.9999999999995</v>
      </c>
      <c r="AC148" s="4">
        <f>$M$148*$W$148</f>
        <v>0</v>
      </c>
      <c r="AD148" s="4">
        <f>$O$148*$X$148</f>
        <v>0</v>
      </c>
      <c r="AE148" s="4">
        <f ca="1">$K$148*$Y$148</f>
        <v>2829.1387553311069</v>
      </c>
      <c r="AF148" s="4">
        <f>$M$148*$Z$148</f>
        <v>0</v>
      </c>
      <c r="AG148" s="4">
        <f>$O$148*$AA$148</f>
        <v>0</v>
      </c>
    </row>
    <row r="149" spans="1:33" ht="11.25" customHeight="1" x14ac:dyDescent="0.25">
      <c r="A149" s="3" t="s">
        <v>21</v>
      </c>
      <c r="B149" s="3" t="s">
        <v>35</v>
      </c>
      <c r="C149" s="3" t="s">
        <v>39</v>
      </c>
      <c r="D149" s="3" t="s">
        <v>45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75</v>
      </c>
      <c r="K149" s="4">
        <v>75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3" t="s">
        <v>26</v>
      </c>
      <c r="R149" s="3">
        <v>0</v>
      </c>
      <c r="S149" s="4">
        <v>46</v>
      </c>
      <c r="T149" s="4">
        <v>0</v>
      </c>
      <c r="U149" s="4">
        <v>0</v>
      </c>
      <c r="V149" s="4">
        <f>IF(ISERROR(VLOOKUP($S$149,'TAR FIN'!$A$1:$O$88,15,0)),0,VLOOKUP($S$149,'TAR FIN'!$A$1:$O$88,15,0))</f>
        <v>34.479999999999997</v>
      </c>
      <c r="W149" s="4">
        <f>IF(ISERROR(VLOOKUP($T$149,'TAR FIN'!$A$1:$O$88,15,0)),0,VLOOKUP($T$149,'TAR FIN'!$A$1:$O$88,15,0))</f>
        <v>0</v>
      </c>
      <c r="X149" s="4">
        <f>IF(ISERROR(VLOOKUP($U$149,'TAR FIN'!$A$1:$O$88,15,0)),0,VLOOKUP($U$149,'TAR FIN'!$A$1:$O$88,15,0))</f>
        <v>0</v>
      </c>
      <c r="Y149" s="4">
        <f ca="1">('TUSD BE'!$AM$10+'TUSD BF'!$AM$10+'TUSD CVA'!$AM$10)*1</f>
        <v>37.721850071081427</v>
      </c>
      <c r="Z149" s="4"/>
      <c r="AA149" s="4"/>
      <c r="AB149" s="4">
        <f>$K$149*$V$149</f>
        <v>2585.9999999999995</v>
      </c>
      <c r="AC149" s="4">
        <f>$M$149*$W$149</f>
        <v>0</v>
      </c>
      <c r="AD149" s="4">
        <f>$O$149*$X$149</f>
        <v>0</v>
      </c>
      <c r="AE149" s="4">
        <f ca="1">$K$149*$Y$149</f>
        <v>2829.1387553311069</v>
      </c>
      <c r="AF149" s="4">
        <f>$M$149*$Z$149</f>
        <v>0</v>
      </c>
      <c r="AG149" s="4">
        <f>$O$149*$AA$149</f>
        <v>0</v>
      </c>
    </row>
    <row r="150" spans="1:33" ht="11.25" customHeight="1" x14ac:dyDescent="0.25">
      <c r="A150" s="3" t="s">
        <v>21</v>
      </c>
      <c r="B150" s="3" t="s">
        <v>35</v>
      </c>
      <c r="C150" s="3" t="s">
        <v>39</v>
      </c>
      <c r="D150" s="3" t="s">
        <v>45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75</v>
      </c>
      <c r="K150" s="4">
        <v>75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4">
        <v>46</v>
      </c>
      <c r="T150" s="4">
        <v>0</v>
      </c>
      <c r="U150" s="4">
        <v>0</v>
      </c>
      <c r="V150" s="4">
        <f>IF(ISERROR(VLOOKUP($S$150,'TAR FIN'!$A$1:$O$88,15,0)),0,VLOOKUP($S$150,'TAR FIN'!$A$1:$O$88,15,0))</f>
        <v>34.479999999999997</v>
      </c>
      <c r="W150" s="4">
        <f>IF(ISERROR(VLOOKUP($T$150,'TAR FIN'!$A$1:$O$88,15,0)),0,VLOOKUP($T$150,'TAR FIN'!$A$1:$O$88,15,0))</f>
        <v>0</v>
      </c>
      <c r="X150" s="4">
        <f>IF(ISERROR(VLOOKUP($U$150,'TAR FIN'!$A$1:$O$88,15,0)),0,VLOOKUP($U$150,'TAR FIN'!$A$1:$O$88,15,0))</f>
        <v>0</v>
      </c>
      <c r="Y150" s="4">
        <f ca="1">('TUSD BE'!$AM$10+'TUSD BF'!$AM$10+'TUSD CVA'!$AM$10)*1</f>
        <v>37.721850071081427</v>
      </c>
      <c r="Z150" s="4"/>
      <c r="AA150" s="4"/>
      <c r="AB150" s="4">
        <f>$K$150*$V$150</f>
        <v>2585.9999999999995</v>
      </c>
      <c r="AC150" s="4">
        <f>$M$150*$W$150</f>
        <v>0</v>
      </c>
      <c r="AD150" s="4">
        <f>$O$150*$X$150</f>
        <v>0</v>
      </c>
      <c r="AE150" s="4">
        <f ca="1">$K$150*$Y$150</f>
        <v>2829.1387553311069</v>
      </c>
      <c r="AF150" s="4">
        <f>$M$150*$Z$150</f>
        <v>0</v>
      </c>
      <c r="AG150" s="4">
        <f>$O$150*$AA$150</f>
        <v>0</v>
      </c>
    </row>
    <row r="151" spans="1:33" ht="11.25" customHeight="1" x14ac:dyDescent="0.25">
      <c r="A151" s="3" t="s">
        <v>21</v>
      </c>
      <c r="B151" s="3" t="s">
        <v>35</v>
      </c>
      <c r="C151" s="3" t="s">
        <v>39</v>
      </c>
      <c r="D151" s="3" t="s">
        <v>45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75</v>
      </c>
      <c r="K151" s="4">
        <v>75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3" t="s">
        <v>26</v>
      </c>
      <c r="R151" s="3">
        <v>0</v>
      </c>
      <c r="S151" s="4">
        <v>46</v>
      </c>
      <c r="T151" s="4">
        <v>0</v>
      </c>
      <c r="U151" s="4">
        <v>0</v>
      </c>
      <c r="V151" s="4">
        <f>IF(ISERROR(VLOOKUP($S$151,'TAR FIN'!$A$1:$O$88,15,0)),0,VLOOKUP($S$151,'TAR FIN'!$A$1:$O$88,15,0))</f>
        <v>34.479999999999997</v>
      </c>
      <c r="W151" s="4">
        <f>IF(ISERROR(VLOOKUP($T$151,'TAR FIN'!$A$1:$O$88,15,0)),0,VLOOKUP($T$151,'TAR FIN'!$A$1:$O$88,15,0))</f>
        <v>0</v>
      </c>
      <c r="X151" s="4">
        <f>IF(ISERROR(VLOOKUP($U$151,'TAR FIN'!$A$1:$O$88,15,0)),0,VLOOKUP($U$151,'TAR FIN'!$A$1:$O$88,15,0))</f>
        <v>0</v>
      </c>
      <c r="Y151" s="4">
        <f ca="1">('TUSD BE'!$AM$10+'TUSD BF'!$AM$10+'TUSD CVA'!$AM$10)*1</f>
        <v>37.721850071081427</v>
      </c>
      <c r="Z151" s="4"/>
      <c r="AA151" s="4"/>
      <c r="AB151" s="4">
        <f>$K$151*$V$151</f>
        <v>2585.9999999999995</v>
      </c>
      <c r="AC151" s="4">
        <f>$M$151*$W$151</f>
        <v>0</v>
      </c>
      <c r="AD151" s="4">
        <f>$O$151*$X$151</f>
        <v>0</v>
      </c>
      <c r="AE151" s="4">
        <f ca="1">$K$151*$Y$151</f>
        <v>2829.1387553311069</v>
      </c>
      <c r="AF151" s="4">
        <f>$M$151*$Z$151</f>
        <v>0</v>
      </c>
      <c r="AG151" s="4">
        <f>$O$151*$AA$151</f>
        <v>0</v>
      </c>
    </row>
    <row r="152" spans="1:33" ht="11.25" customHeight="1" x14ac:dyDescent="0.25">
      <c r="A152" s="3" t="s">
        <v>55</v>
      </c>
      <c r="B152" s="3" t="s">
        <v>35</v>
      </c>
      <c r="C152" s="3" t="s">
        <v>39</v>
      </c>
      <c r="D152" s="3" t="s">
        <v>45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75</v>
      </c>
      <c r="K152" s="4">
        <v>75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3" t="s">
        <v>26</v>
      </c>
      <c r="R152" s="3">
        <v>0</v>
      </c>
      <c r="S152" s="4">
        <v>46</v>
      </c>
      <c r="T152" s="4">
        <v>0</v>
      </c>
      <c r="U152" s="4">
        <v>0</v>
      </c>
      <c r="V152" s="4">
        <f>IF(ISERROR(VLOOKUP($S$152,'TAR FIN'!$A$1:$O$88,15,0)),0,VLOOKUP($S$152,'TAR FIN'!$A$1:$O$88,15,0))</f>
        <v>34.479999999999997</v>
      </c>
      <c r="W152" s="4">
        <f>IF(ISERROR(VLOOKUP($T$152,'TAR FIN'!$A$1:$O$88,15,0)),0,VLOOKUP($T$152,'TAR FIN'!$A$1:$O$88,15,0))</f>
        <v>0</v>
      </c>
      <c r="X152" s="4">
        <f>IF(ISERROR(VLOOKUP($U$152,'TAR FIN'!$A$1:$O$88,15,0)),0,VLOOKUP($U$152,'TAR FIN'!$A$1:$O$88,15,0))</f>
        <v>0</v>
      </c>
      <c r="Y152" s="4">
        <f ca="1">('TUSD BE'!$AM$10+'TUSD BF'!$AM$10+'TUSD CVA'!$AM$10)*1</f>
        <v>37.721850071081427</v>
      </c>
      <c r="Z152" s="4"/>
      <c r="AA152" s="4"/>
      <c r="AB152" s="4">
        <f>$K$152*$V$152</f>
        <v>2585.9999999999995</v>
      </c>
      <c r="AC152" s="4">
        <f>$M$152*$W$152</f>
        <v>0</v>
      </c>
      <c r="AD152" s="4">
        <f>$O$152*$X$152</f>
        <v>0</v>
      </c>
      <c r="AE152" s="4">
        <f ca="1">$K$152*$Y$152</f>
        <v>2829.1387553311069</v>
      </c>
      <c r="AF152" s="4">
        <f>$M$152*$Z$152</f>
        <v>0</v>
      </c>
      <c r="AG152" s="4">
        <f>$O$152*$AA$152</f>
        <v>0</v>
      </c>
    </row>
    <row r="153" spans="1:33" ht="11.25" customHeight="1" x14ac:dyDescent="0.25">
      <c r="A153" s="3" t="s">
        <v>21</v>
      </c>
      <c r="B153" s="3" t="s">
        <v>35</v>
      </c>
      <c r="C153" s="3" t="s">
        <v>39</v>
      </c>
      <c r="D153" s="3" t="s">
        <v>45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44440</v>
      </c>
      <c r="J153" s="4">
        <v>0</v>
      </c>
      <c r="K153" s="4">
        <v>0</v>
      </c>
      <c r="L153" s="4">
        <v>8.6999999999999994E-2</v>
      </c>
      <c r="M153" s="4">
        <v>8.6999999999999994E-2</v>
      </c>
      <c r="N153" s="4">
        <v>8.6999999999999994E-2</v>
      </c>
      <c r="O153" s="4">
        <v>8.6999999999999994E-2</v>
      </c>
      <c r="P153" s="4">
        <v>0</v>
      </c>
      <c r="Q153" s="3" t="s">
        <v>26</v>
      </c>
      <c r="R153" s="3">
        <v>0</v>
      </c>
      <c r="S153" s="4">
        <v>0</v>
      </c>
      <c r="T153" s="4">
        <v>35</v>
      </c>
      <c r="U153" s="4">
        <v>70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2676.16</v>
      </c>
      <c r="X153" s="4">
        <f>IF(ISERROR(VLOOKUP($U$153,'TAR FIN'!$A$1:$O$88,15,0)),0,VLOOKUP($U$153,'TAR FIN'!$A$1:$O$88,15,0))</f>
        <v>150.26</v>
      </c>
      <c r="Y153" s="4"/>
      <c r="Z153" s="4">
        <f ca="1">('TUSD BE'!$AM$11+'TUSD BF'!$AM$11+'TUSD CVA'!$AM$11)*1</f>
        <v>2626.6795212185111</v>
      </c>
      <c r="AA153" s="4">
        <f>('TE BE'!$AB$5+'TE BF'!$AB$5+'TE CVA'!$AB$5)*1</f>
        <v>136.62265710865657</v>
      </c>
      <c r="AB153" s="4">
        <f>$K$153*$V$153</f>
        <v>0</v>
      </c>
      <c r="AC153" s="4">
        <f>$M$153*$W$153</f>
        <v>232.82591999999997</v>
      </c>
      <c r="AD153" s="4">
        <f>$O$153*$X$153</f>
        <v>13.072619999999999</v>
      </c>
      <c r="AE153" s="4">
        <f>$K$153*$Y$153</f>
        <v>0</v>
      </c>
      <c r="AF153" s="4">
        <f ca="1">$M$153*$Z$153</f>
        <v>228.52111834601044</v>
      </c>
      <c r="AG153" s="4">
        <f>$O$153*$AA$153</f>
        <v>11.886171168453121</v>
      </c>
    </row>
    <row r="154" spans="1:33" ht="11.25" customHeight="1" x14ac:dyDescent="0.25">
      <c r="A154" s="3" t="s">
        <v>21</v>
      </c>
      <c r="B154" s="3" t="s">
        <v>35</v>
      </c>
      <c r="C154" s="3" t="s">
        <v>39</v>
      </c>
      <c r="D154" s="3" t="s">
        <v>45</v>
      </c>
      <c r="E154" s="3" t="s">
        <v>25</v>
      </c>
      <c r="F154" s="3" t="s">
        <v>25</v>
      </c>
      <c r="G154" s="3" t="s">
        <v>25</v>
      </c>
      <c r="H154" s="3" t="s">
        <v>37</v>
      </c>
      <c r="I154" s="6">
        <v>44470</v>
      </c>
      <c r="J154" s="4">
        <v>0</v>
      </c>
      <c r="K154" s="4">
        <v>0</v>
      </c>
      <c r="L154" s="4">
        <v>9.0999999999999998E-2</v>
      </c>
      <c r="M154" s="4">
        <v>9.0999999999999998E-2</v>
      </c>
      <c r="N154" s="4">
        <v>9.0999999999999998E-2</v>
      </c>
      <c r="O154" s="4">
        <v>9.0999999999999998E-2</v>
      </c>
      <c r="P154" s="4">
        <v>0</v>
      </c>
      <c r="Q154" s="3" t="s">
        <v>26</v>
      </c>
      <c r="R154" s="3">
        <v>0</v>
      </c>
      <c r="S154" s="4">
        <v>0</v>
      </c>
      <c r="T154" s="4">
        <v>35</v>
      </c>
      <c r="U154" s="4">
        <v>70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2676.16</v>
      </c>
      <c r="X154" s="4">
        <f>IF(ISERROR(VLOOKUP($U$154,'TAR FIN'!$A$1:$O$88,15,0)),0,VLOOKUP($U$154,'TAR FIN'!$A$1:$O$88,15,0))</f>
        <v>150.26</v>
      </c>
      <c r="Y154" s="4"/>
      <c r="Z154" s="4">
        <f ca="1">('TUSD BE'!$AM$11+'TUSD BF'!$AM$11+'TUSD CVA'!$AM$11)*1</f>
        <v>2626.6795212185111</v>
      </c>
      <c r="AA154" s="4">
        <f>('TE BE'!$AB$5+'TE BF'!$AB$5+'TE CVA'!$AB$5)*1</f>
        <v>136.62265710865657</v>
      </c>
      <c r="AB154" s="4">
        <f>$K$154*$V$154</f>
        <v>0</v>
      </c>
      <c r="AC154" s="4">
        <f>$M$154*$W$154</f>
        <v>243.53055999999998</v>
      </c>
      <c r="AD154" s="4">
        <f>$O$154*$X$154</f>
        <v>13.673659999999998</v>
      </c>
      <c r="AE154" s="4">
        <f>$K$154*$Y$154</f>
        <v>0</v>
      </c>
      <c r="AF154" s="4">
        <f ca="1">$M$154*$Z$154</f>
        <v>239.02783643088452</v>
      </c>
      <c r="AG154" s="4">
        <f>$O$154*$AA$154</f>
        <v>12.432661796887748</v>
      </c>
    </row>
    <row r="155" spans="1:33" ht="11.25" customHeight="1" x14ac:dyDescent="0.25">
      <c r="A155" s="3" t="s">
        <v>21</v>
      </c>
      <c r="B155" s="3" t="s">
        <v>35</v>
      </c>
      <c r="C155" s="3" t="s">
        <v>39</v>
      </c>
      <c r="D155" s="3" t="s">
        <v>45</v>
      </c>
      <c r="E155" s="3" t="s">
        <v>25</v>
      </c>
      <c r="F155" s="3" t="s">
        <v>25</v>
      </c>
      <c r="G155" s="3" t="s">
        <v>25</v>
      </c>
      <c r="H155" s="3" t="s">
        <v>37</v>
      </c>
      <c r="I155" s="6">
        <v>44501</v>
      </c>
      <c r="J155" s="4">
        <v>0</v>
      </c>
      <c r="K155" s="4">
        <v>0</v>
      </c>
      <c r="L155" s="4">
        <v>9.5000000000000001E-2</v>
      </c>
      <c r="M155" s="4">
        <v>9.5000000000000001E-2</v>
      </c>
      <c r="N155" s="4">
        <v>9.5000000000000001E-2</v>
      </c>
      <c r="O155" s="4">
        <v>9.5000000000000001E-2</v>
      </c>
      <c r="P155" s="4">
        <v>0</v>
      </c>
      <c r="Q155" s="3" t="s">
        <v>26</v>
      </c>
      <c r="R155" s="3">
        <v>0</v>
      </c>
      <c r="S155" s="4">
        <v>0</v>
      </c>
      <c r="T155" s="4">
        <v>35</v>
      </c>
      <c r="U155" s="4">
        <v>70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2676.16</v>
      </c>
      <c r="X155" s="4">
        <f>IF(ISERROR(VLOOKUP($U$155,'TAR FIN'!$A$1:$O$88,15,0)),0,VLOOKUP($U$155,'TAR FIN'!$A$1:$O$88,15,0))</f>
        <v>150.26</v>
      </c>
      <c r="Y155" s="4"/>
      <c r="Z155" s="4">
        <f ca="1">('TUSD BE'!$AM$11+'TUSD BF'!$AM$11+'TUSD CVA'!$AM$11)*1</f>
        <v>2626.6795212185111</v>
      </c>
      <c r="AA155" s="4">
        <f>('TE BE'!$AB$5+'TE BF'!$AB$5+'TE CVA'!$AB$5)*1</f>
        <v>136.62265710865657</v>
      </c>
      <c r="AB155" s="4">
        <f>$K$155*$V$155</f>
        <v>0</v>
      </c>
      <c r="AC155" s="4">
        <f>$M$155*$W$155</f>
        <v>254.23519999999999</v>
      </c>
      <c r="AD155" s="4">
        <f>$O$155*$X$155</f>
        <v>14.274699999999999</v>
      </c>
      <c r="AE155" s="4">
        <f>$K$155*$Y$155</f>
        <v>0</v>
      </c>
      <c r="AF155" s="4">
        <f ca="1">$M$155*$Z$155</f>
        <v>249.53455451575857</v>
      </c>
      <c r="AG155" s="4">
        <f>$O$155*$AA$155</f>
        <v>12.979152425322374</v>
      </c>
    </row>
    <row r="156" spans="1:33" ht="11.25" customHeight="1" x14ac:dyDescent="0.25">
      <c r="A156" s="3" t="s">
        <v>21</v>
      </c>
      <c r="B156" s="3" t="s">
        <v>35</v>
      </c>
      <c r="C156" s="3" t="s">
        <v>39</v>
      </c>
      <c r="D156" s="3" t="s">
        <v>45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44531</v>
      </c>
      <c r="J156" s="4">
        <v>0</v>
      </c>
      <c r="K156" s="4">
        <v>0</v>
      </c>
      <c r="L156" s="4">
        <v>9.7000000000000003E-2</v>
      </c>
      <c r="M156" s="4">
        <v>9.7000000000000003E-2</v>
      </c>
      <c r="N156" s="4">
        <v>9.7000000000000003E-2</v>
      </c>
      <c r="O156" s="4">
        <v>9.7000000000000003E-2</v>
      </c>
      <c r="P156" s="4">
        <v>0</v>
      </c>
      <c r="Q156" s="3" t="s">
        <v>26</v>
      </c>
      <c r="R156" s="3">
        <v>0</v>
      </c>
      <c r="S156" s="4">
        <v>0</v>
      </c>
      <c r="T156" s="4">
        <v>35</v>
      </c>
      <c r="U156" s="4">
        <v>70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2676.16</v>
      </c>
      <c r="X156" s="4">
        <f>IF(ISERROR(VLOOKUP($U$156,'TAR FIN'!$A$1:$O$88,15,0)),0,VLOOKUP($U$156,'TAR FIN'!$A$1:$O$88,15,0))</f>
        <v>150.26</v>
      </c>
      <c r="Y156" s="4"/>
      <c r="Z156" s="4">
        <f ca="1">('TUSD BE'!$AM$11+'TUSD BF'!$AM$11+'TUSD CVA'!$AM$11)*1</f>
        <v>2626.6795212185111</v>
      </c>
      <c r="AA156" s="4">
        <f>('TE BE'!$AB$5+'TE BF'!$AB$5+'TE CVA'!$AB$5)*1</f>
        <v>136.62265710865657</v>
      </c>
      <c r="AB156" s="4">
        <f>$K$156*$V$156</f>
        <v>0</v>
      </c>
      <c r="AC156" s="4">
        <f>$M$156*$W$156</f>
        <v>259.58751999999998</v>
      </c>
      <c r="AD156" s="4">
        <f>$O$156*$X$156</f>
        <v>14.57522</v>
      </c>
      <c r="AE156" s="4">
        <f>$K$156*$Y$156</f>
        <v>0</v>
      </c>
      <c r="AF156" s="4">
        <f ca="1">$M$156*$Z$156</f>
        <v>254.78791355819558</v>
      </c>
      <c r="AG156" s="4">
        <f>$O$156*$AA$156</f>
        <v>13.252397739539688</v>
      </c>
    </row>
    <row r="157" spans="1:33" ht="11.25" customHeight="1" x14ac:dyDescent="0.25">
      <c r="A157" s="3" t="s">
        <v>21</v>
      </c>
      <c r="B157" s="3" t="s">
        <v>35</v>
      </c>
      <c r="C157" s="3" t="s">
        <v>39</v>
      </c>
      <c r="D157" s="3" t="s">
        <v>45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44562</v>
      </c>
      <c r="J157" s="4">
        <v>0</v>
      </c>
      <c r="K157" s="4">
        <v>0</v>
      </c>
      <c r="L157" s="4">
        <v>9.4E-2</v>
      </c>
      <c r="M157" s="4">
        <v>9.4E-2</v>
      </c>
      <c r="N157" s="4">
        <v>9.4E-2</v>
      </c>
      <c r="O157" s="4">
        <v>9.4E-2</v>
      </c>
      <c r="P157" s="4">
        <v>0</v>
      </c>
      <c r="Q157" s="3" t="s">
        <v>26</v>
      </c>
      <c r="R157" s="3">
        <v>0</v>
      </c>
      <c r="S157" s="4">
        <v>0</v>
      </c>
      <c r="T157" s="4">
        <v>35</v>
      </c>
      <c r="U157" s="4">
        <v>70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2676.16</v>
      </c>
      <c r="X157" s="4">
        <f>IF(ISERROR(VLOOKUP($U$157,'TAR FIN'!$A$1:$O$88,15,0)),0,VLOOKUP($U$157,'TAR FIN'!$A$1:$O$88,15,0))</f>
        <v>150.26</v>
      </c>
      <c r="Y157" s="4"/>
      <c r="Z157" s="4">
        <f ca="1">('TUSD BE'!$AM$11+'TUSD BF'!$AM$11+'TUSD CVA'!$AM$11)*1</f>
        <v>2626.6795212185111</v>
      </c>
      <c r="AA157" s="4">
        <f>('TE BE'!$AB$5+'TE BF'!$AB$5+'TE CVA'!$AB$5)*1</f>
        <v>136.62265710865657</v>
      </c>
      <c r="AB157" s="4">
        <f>$K$157*$V$157</f>
        <v>0</v>
      </c>
      <c r="AC157" s="4">
        <f>$M$157*$W$157</f>
        <v>251.55903999999998</v>
      </c>
      <c r="AD157" s="4">
        <f>$O$157*$X$157</f>
        <v>14.12444</v>
      </c>
      <c r="AE157" s="4">
        <f>$K$157*$Y$157</f>
        <v>0</v>
      </c>
      <c r="AF157" s="4">
        <f ca="1">$M$157*$Z$157</f>
        <v>246.90787499454004</v>
      </c>
      <c r="AG157" s="4">
        <f>$O$157*$AA$157</f>
        <v>12.842529768213717</v>
      </c>
    </row>
    <row r="158" spans="1:33" ht="11.25" customHeight="1" x14ac:dyDescent="0.25">
      <c r="A158" s="3" t="s">
        <v>21</v>
      </c>
      <c r="B158" s="3" t="s">
        <v>35</v>
      </c>
      <c r="C158" s="3" t="s">
        <v>39</v>
      </c>
      <c r="D158" s="3" t="s">
        <v>45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44593</v>
      </c>
      <c r="J158" s="4">
        <v>0</v>
      </c>
      <c r="K158" s="4">
        <v>0</v>
      </c>
      <c r="L158" s="4">
        <v>6.9000000000000006E-2</v>
      </c>
      <c r="M158" s="4">
        <v>6.9000000000000006E-2</v>
      </c>
      <c r="N158" s="4">
        <v>6.9000000000000006E-2</v>
      </c>
      <c r="O158" s="4">
        <v>6.9000000000000006E-2</v>
      </c>
      <c r="P158" s="4">
        <v>0</v>
      </c>
      <c r="Q158" s="3" t="s">
        <v>26</v>
      </c>
      <c r="R158" s="3">
        <v>0</v>
      </c>
      <c r="S158" s="4">
        <v>0</v>
      </c>
      <c r="T158" s="4">
        <v>35</v>
      </c>
      <c r="U158" s="4">
        <v>70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2676.16</v>
      </c>
      <c r="X158" s="4">
        <f>IF(ISERROR(VLOOKUP($U$158,'TAR FIN'!$A$1:$O$88,15,0)),0,VLOOKUP($U$158,'TAR FIN'!$A$1:$O$88,15,0))</f>
        <v>150.26</v>
      </c>
      <c r="Y158" s="4"/>
      <c r="Z158" s="4">
        <f ca="1">('TUSD BE'!$AM$11+'TUSD BF'!$AM$11+'TUSD CVA'!$AM$11)*1</f>
        <v>2626.6795212185111</v>
      </c>
      <c r="AA158" s="4">
        <f>('TE BE'!$AB$5+'TE BF'!$AB$5+'TE CVA'!$AB$5)*1</f>
        <v>136.62265710865657</v>
      </c>
      <c r="AB158" s="4">
        <f>$K$158*$V$158</f>
        <v>0</v>
      </c>
      <c r="AC158" s="4">
        <f>$M$158*$W$158</f>
        <v>184.65504000000001</v>
      </c>
      <c r="AD158" s="4">
        <f>$O$158*$X$158</f>
        <v>10.367940000000001</v>
      </c>
      <c r="AE158" s="4">
        <f>$K$158*$Y$158</f>
        <v>0</v>
      </c>
      <c r="AF158" s="4">
        <f ca="1">$M$158*$Z$158</f>
        <v>181.24088696407728</v>
      </c>
      <c r="AG158" s="4">
        <f>$O$158*$AA$158</f>
        <v>9.4269633404973039</v>
      </c>
    </row>
    <row r="159" spans="1:33" ht="11.25" customHeight="1" x14ac:dyDescent="0.25">
      <c r="A159" s="3" t="s">
        <v>21</v>
      </c>
      <c r="B159" s="3" t="s">
        <v>35</v>
      </c>
      <c r="C159" s="3" t="s">
        <v>39</v>
      </c>
      <c r="D159" s="3" t="s">
        <v>45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44621</v>
      </c>
      <c r="J159" s="4">
        <v>0</v>
      </c>
      <c r="K159" s="4">
        <v>0</v>
      </c>
      <c r="L159" s="4">
        <v>8.4000000000000005E-2</v>
      </c>
      <c r="M159" s="4">
        <v>8.4000000000000005E-2</v>
      </c>
      <c r="N159" s="4">
        <v>8.4000000000000005E-2</v>
      </c>
      <c r="O159" s="4">
        <v>8.4000000000000005E-2</v>
      </c>
      <c r="P159" s="4">
        <v>0</v>
      </c>
      <c r="Q159" s="3" t="s">
        <v>26</v>
      </c>
      <c r="R159" s="3">
        <v>0</v>
      </c>
      <c r="S159" s="4">
        <v>0</v>
      </c>
      <c r="T159" s="4">
        <v>35</v>
      </c>
      <c r="U159" s="4">
        <v>70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2676.16</v>
      </c>
      <c r="X159" s="4">
        <f>IF(ISERROR(VLOOKUP($U$159,'TAR FIN'!$A$1:$O$88,15,0)),0,VLOOKUP($U$159,'TAR FIN'!$A$1:$O$88,15,0))</f>
        <v>150.26</v>
      </c>
      <c r="Y159" s="4"/>
      <c r="Z159" s="4">
        <f ca="1">('TUSD BE'!$AM$11+'TUSD BF'!$AM$11+'TUSD CVA'!$AM$11)*1</f>
        <v>2626.6795212185111</v>
      </c>
      <c r="AA159" s="4">
        <f>('TE BE'!$AB$5+'TE BF'!$AB$5+'TE CVA'!$AB$5)*1</f>
        <v>136.62265710865657</v>
      </c>
      <c r="AB159" s="4">
        <f>$K$159*$V$159</f>
        <v>0</v>
      </c>
      <c r="AC159" s="4">
        <f>$M$159*$W$159</f>
        <v>224.79743999999999</v>
      </c>
      <c r="AD159" s="4">
        <f>$O$159*$X$159</f>
        <v>12.621840000000001</v>
      </c>
      <c r="AE159" s="4">
        <f>$K$159*$Y$159</f>
        <v>0</v>
      </c>
      <c r="AF159" s="4">
        <f ca="1">$M$159*$Z$159</f>
        <v>220.64107978235495</v>
      </c>
      <c r="AG159" s="4">
        <f>$O$159*$AA$159</f>
        <v>11.476303197127152</v>
      </c>
    </row>
    <row r="160" spans="1:33" ht="11.25" customHeight="1" x14ac:dyDescent="0.25">
      <c r="A160" s="3" t="s">
        <v>21</v>
      </c>
      <c r="B160" s="3" t="s">
        <v>35</v>
      </c>
      <c r="C160" s="3" t="s">
        <v>39</v>
      </c>
      <c r="D160" s="3" t="s">
        <v>45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44652</v>
      </c>
      <c r="J160" s="4">
        <v>0</v>
      </c>
      <c r="K160" s="4">
        <v>0</v>
      </c>
      <c r="L160" s="4">
        <v>0.14299999999999999</v>
      </c>
      <c r="M160" s="4">
        <v>0.14299999999999999</v>
      </c>
      <c r="N160" s="4">
        <v>0.14299999999999999</v>
      </c>
      <c r="O160" s="4">
        <v>0.14299999999999999</v>
      </c>
      <c r="P160" s="4">
        <v>0</v>
      </c>
      <c r="Q160" s="3" t="s">
        <v>26</v>
      </c>
      <c r="R160" s="3">
        <v>0</v>
      </c>
      <c r="S160" s="4">
        <v>0</v>
      </c>
      <c r="T160" s="4">
        <v>35</v>
      </c>
      <c r="U160" s="4">
        <v>70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2676.16</v>
      </c>
      <c r="X160" s="4">
        <f>IF(ISERROR(VLOOKUP($U$160,'TAR FIN'!$A$1:$O$88,15,0)),0,VLOOKUP($U$160,'TAR FIN'!$A$1:$O$88,15,0))</f>
        <v>150.26</v>
      </c>
      <c r="Y160" s="4"/>
      <c r="Z160" s="4">
        <f ca="1">('TUSD BE'!$AM$11+'TUSD BF'!$AM$11+'TUSD CVA'!$AM$11)*1</f>
        <v>2626.6795212185111</v>
      </c>
      <c r="AA160" s="4">
        <f>('TE BE'!$AB$5+'TE BF'!$AB$5+'TE CVA'!$AB$5)*1</f>
        <v>136.62265710865657</v>
      </c>
      <c r="AB160" s="4">
        <f>$K$160*$V$160</f>
        <v>0</v>
      </c>
      <c r="AC160" s="4">
        <f>$M$160*$W$160</f>
        <v>382.69087999999994</v>
      </c>
      <c r="AD160" s="4">
        <f>$O$160*$X$160</f>
        <v>21.487179999999999</v>
      </c>
      <c r="AE160" s="4">
        <f>$K$160*$Y$160</f>
        <v>0</v>
      </c>
      <c r="AF160" s="4">
        <f ca="1">$M$160*$Z$160</f>
        <v>375.61517153424705</v>
      </c>
      <c r="AG160" s="4">
        <f>$O$160*$AA$160</f>
        <v>19.537039966537886</v>
      </c>
    </row>
    <row r="161" spans="1:33" ht="11.25" customHeight="1" x14ac:dyDescent="0.25">
      <c r="A161" s="3" t="s">
        <v>21</v>
      </c>
      <c r="B161" s="3" t="s">
        <v>35</v>
      </c>
      <c r="C161" s="3" t="s">
        <v>39</v>
      </c>
      <c r="D161" s="3" t="s">
        <v>45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44682</v>
      </c>
      <c r="J161" s="4">
        <v>0</v>
      </c>
      <c r="K161" s="4">
        <v>0</v>
      </c>
      <c r="L161" s="4">
        <v>8.6999999999999994E-2</v>
      </c>
      <c r="M161" s="4">
        <v>8.6999999999999994E-2</v>
      </c>
      <c r="N161" s="4">
        <v>8.6999999999999994E-2</v>
      </c>
      <c r="O161" s="4">
        <v>8.6999999999999994E-2</v>
      </c>
      <c r="P161" s="4">
        <v>0</v>
      </c>
      <c r="Q161" s="3" t="s">
        <v>26</v>
      </c>
      <c r="R161" s="3">
        <v>0</v>
      </c>
      <c r="S161" s="4">
        <v>0</v>
      </c>
      <c r="T161" s="4">
        <v>35</v>
      </c>
      <c r="U161" s="4">
        <v>70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2676.16</v>
      </c>
      <c r="X161" s="4">
        <f>IF(ISERROR(VLOOKUP($U$161,'TAR FIN'!$A$1:$O$88,15,0)),0,VLOOKUP($U$161,'TAR FIN'!$A$1:$O$88,15,0))</f>
        <v>150.26</v>
      </c>
      <c r="Y161" s="4"/>
      <c r="Z161" s="4">
        <f ca="1">('TUSD BE'!$AM$11+'TUSD BF'!$AM$11+'TUSD CVA'!$AM$11)*1</f>
        <v>2626.6795212185111</v>
      </c>
      <c r="AA161" s="4">
        <f>('TE BE'!$AB$5+'TE BF'!$AB$5+'TE CVA'!$AB$5)*1</f>
        <v>136.62265710865657</v>
      </c>
      <c r="AB161" s="4">
        <f>$K$161*$V$161</f>
        <v>0</v>
      </c>
      <c r="AC161" s="4">
        <f>$M$161*$W$161</f>
        <v>232.82591999999997</v>
      </c>
      <c r="AD161" s="4">
        <f>$O$161*$X$161</f>
        <v>13.072619999999999</v>
      </c>
      <c r="AE161" s="4">
        <f>$K$161*$Y$161</f>
        <v>0</v>
      </c>
      <c r="AF161" s="4">
        <f ca="1">$M$161*$Z$161</f>
        <v>228.52111834601044</v>
      </c>
      <c r="AG161" s="4">
        <f>$O$161*$AA$161</f>
        <v>11.886171168453121</v>
      </c>
    </row>
    <row r="162" spans="1:33" ht="11.25" customHeight="1" x14ac:dyDescent="0.25">
      <c r="A162" s="3" t="s">
        <v>21</v>
      </c>
      <c r="B162" s="3" t="s">
        <v>35</v>
      </c>
      <c r="C162" s="3" t="s">
        <v>39</v>
      </c>
      <c r="D162" s="3" t="s">
        <v>45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44713</v>
      </c>
      <c r="J162" s="4">
        <v>0</v>
      </c>
      <c r="K162" s="4">
        <v>0</v>
      </c>
      <c r="L162" s="4">
        <v>9.0999999999999998E-2</v>
      </c>
      <c r="M162" s="4">
        <v>9.0999999999999998E-2</v>
      </c>
      <c r="N162" s="4">
        <v>9.0999999999999998E-2</v>
      </c>
      <c r="O162" s="4">
        <v>9.0999999999999998E-2</v>
      </c>
      <c r="P162" s="4">
        <v>0</v>
      </c>
      <c r="Q162" s="3" t="s">
        <v>26</v>
      </c>
      <c r="R162" s="3">
        <v>0</v>
      </c>
      <c r="S162" s="4">
        <v>0</v>
      </c>
      <c r="T162" s="4">
        <v>35</v>
      </c>
      <c r="U162" s="4">
        <v>70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2676.16</v>
      </c>
      <c r="X162" s="4">
        <f>IF(ISERROR(VLOOKUP($U$162,'TAR FIN'!$A$1:$O$88,15,0)),0,VLOOKUP($U$162,'TAR FIN'!$A$1:$O$88,15,0))</f>
        <v>150.26</v>
      </c>
      <c r="Y162" s="4"/>
      <c r="Z162" s="4">
        <f ca="1">('TUSD BE'!$AM$11+'TUSD BF'!$AM$11+'TUSD CVA'!$AM$11)*1</f>
        <v>2626.6795212185111</v>
      </c>
      <c r="AA162" s="4">
        <f>('TE BE'!$AB$5+'TE BF'!$AB$5+'TE CVA'!$AB$5)*1</f>
        <v>136.62265710865657</v>
      </c>
      <c r="AB162" s="4">
        <f>$K$162*$V$162</f>
        <v>0</v>
      </c>
      <c r="AC162" s="4">
        <f>$M$162*$W$162</f>
        <v>243.53055999999998</v>
      </c>
      <c r="AD162" s="4">
        <f>$O$162*$X$162</f>
        <v>13.673659999999998</v>
      </c>
      <c r="AE162" s="4">
        <f>$K$162*$Y$162</f>
        <v>0</v>
      </c>
      <c r="AF162" s="4">
        <f ca="1">$M$162*$Z$162</f>
        <v>239.02783643088452</v>
      </c>
      <c r="AG162" s="4">
        <f>$O$162*$AA$162</f>
        <v>12.432661796887748</v>
      </c>
    </row>
    <row r="163" spans="1:33" ht="11.25" customHeight="1" x14ac:dyDescent="0.25">
      <c r="A163" s="3" t="s">
        <v>21</v>
      </c>
      <c r="B163" s="3" t="s">
        <v>35</v>
      </c>
      <c r="C163" s="3" t="s">
        <v>39</v>
      </c>
      <c r="D163" s="3" t="s">
        <v>45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44743</v>
      </c>
      <c r="J163" s="4">
        <v>0</v>
      </c>
      <c r="K163" s="4">
        <v>0</v>
      </c>
      <c r="L163" s="4">
        <v>8.6999999999999994E-2</v>
      </c>
      <c r="M163" s="4">
        <v>8.6999999999999994E-2</v>
      </c>
      <c r="N163" s="4">
        <v>8.6999999999999994E-2</v>
      </c>
      <c r="O163" s="4">
        <v>8.6999999999999994E-2</v>
      </c>
      <c r="P163" s="4">
        <v>0</v>
      </c>
      <c r="Q163" s="3" t="s">
        <v>26</v>
      </c>
      <c r="R163" s="3">
        <v>0</v>
      </c>
      <c r="S163" s="4">
        <v>0</v>
      </c>
      <c r="T163" s="4">
        <v>35</v>
      </c>
      <c r="U163" s="4">
        <v>70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2676.16</v>
      </c>
      <c r="X163" s="4">
        <f>IF(ISERROR(VLOOKUP($U$163,'TAR FIN'!$A$1:$O$88,15,0)),0,VLOOKUP($U$163,'TAR FIN'!$A$1:$O$88,15,0))</f>
        <v>150.26</v>
      </c>
      <c r="Y163" s="4"/>
      <c r="Z163" s="4">
        <f ca="1">('TUSD BE'!$AM$11+'TUSD BF'!$AM$11+'TUSD CVA'!$AM$11)*1</f>
        <v>2626.6795212185111</v>
      </c>
      <c r="AA163" s="4">
        <f>('TE BE'!$AB$5+'TE BF'!$AB$5+'TE CVA'!$AB$5)*1</f>
        <v>136.62265710865657</v>
      </c>
      <c r="AB163" s="4">
        <f>$K$163*$V$163</f>
        <v>0</v>
      </c>
      <c r="AC163" s="4">
        <f>$M$163*$W$163</f>
        <v>232.82591999999997</v>
      </c>
      <c r="AD163" s="4">
        <f>$O$163*$X$163</f>
        <v>13.072619999999999</v>
      </c>
      <c r="AE163" s="4">
        <f>$K$163*$Y$163</f>
        <v>0</v>
      </c>
      <c r="AF163" s="4">
        <f ca="1">$M$163*$Z$163</f>
        <v>228.52111834601044</v>
      </c>
      <c r="AG163" s="4">
        <f>$O$163*$AA$163</f>
        <v>11.886171168453121</v>
      </c>
    </row>
    <row r="164" spans="1:33" ht="11.25" customHeight="1" x14ac:dyDescent="0.25">
      <c r="A164" s="3" t="s">
        <v>55</v>
      </c>
      <c r="B164" s="3" t="s">
        <v>35</v>
      </c>
      <c r="C164" s="3" t="s">
        <v>39</v>
      </c>
      <c r="D164" s="3" t="s">
        <v>45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44774</v>
      </c>
      <c r="J164" s="4">
        <v>0</v>
      </c>
      <c r="K164" s="4">
        <v>0</v>
      </c>
      <c r="L164" s="4">
        <v>8.6999999999999994E-2</v>
      </c>
      <c r="M164" s="4">
        <v>8.6999999999999994E-2</v>
      </c>
      <c r="N164" s="4">
        <v>8.6999999999999994E-2</v>
      </c>
      <c r="O164" s="4">
        <v>8.6999999999999994E-2</v>
      </c>
      <c r="P164" s="4">
        <v>0</v>
      </c>
      <c r="Q164" s="3" t="s">
        <v>26</v>
      </c>
      <c r="R164" s="3">
        <v>0</v>
      </c>
      <c r="S164" s="4">
        <v>0</v>
      </c>
      <c r="T164" s="4">
        <v>35</v>
      </c>
      <c r="U164" s="4">
        <v>70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2676.16</v>
      </c>
      <c r="X164" s="4">
        <f>IF(ISERROR(VLOOKUP($U$164,'TAR FIN'!$A$1:$O$88,15,0)),0,VLOOKUP($U$164,'TAR FIN'!$A$1:$O$88,15,0))</f>
        <v>150.26</v>
      </c>
      <c r="Y164" s="4"/>
      <c r="Z164" s="4">
        <f ca="1">('TUSD BE'!$AM$11+'TUSD BF'!$AM$11+'TUSD CVA'!$AM$11)*1</f>
        <v>2626.6795212185111</v>
      </c>
      <c r="AA164" s="4">
        <f>('TE BE'!$AB$5+'TE BF'!$AB$5+'TE CVA'!$AB$5)*1</f>
        <v>136.62265710865657</v>
      </c>
      <c r="AB164" s="4">
        <f>$K$164*$V$164</f>
        <v>0</v>
      </c>
      <c r="AC164" s="4">
        <f>$M$164*$W$164</f>
        <v>232.82591999999997</v>
      </c>
      <c r="AD164" s="4">
        <f>$O$164*$X$164</f>
        <v>13.072619999999999</v>
      </c>
      <c r="AE164" s="4">
        <f>$K$164*$Y$164</f>
        <v>0</v>
      </c>
      <c r="AF164" s="4">
        <f ca="1">$M$164*$Z$164</f>
        <v>228.52111834601044</v>
      </c>
      <c r="AG164" s="4">
        <f>$O$164*$AA$164</f>
        <v>11.886171168453121</v>
      </c>
    </row>
    <row r="165" spans="1:33" ht="11.25" customHeight="1" x14ac:dyDescent="0.25">
      <c r="A165" s="3" t="s">
        <v>21</v>
      </c>
      <c r="B165" s="3" t="s">
        <v>35</v>
      </c>
      <c r="C165" s="3" t="s">
        <v>39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38</v>
      </c>
      <c r="I165" s="6">
        <v>44440</v>
      </c>
      <c r="J165" s="4">
        <v>0</v>
      </c>
      <c r="K165" s="58">
        <v>0</v>
      </c>
      <c r="L165" s="4">
        <v>35.457000000000001</v>
      </c>
      <c r="M165" s="58">
        <v>35.457000000000001</v>
      </c>
      <c r="N165" s="4">
        <v>35.457000000000001</v>
      </c>
      <c r="O165" s="58">
        <v>35.457000000000001</v>
      </c>
      <c r="P165" s="4">
        <v>0</v>
      </c>
      <c r="Q165" s="3" t="s">
        <v>26</v>
      </c>
      <c r="R165" s="3">
        <v>0</v>
      </c>
      <c r="S165" s="4">
        <v>0</v>
      </c>
      <c r="T165" s="4">
        <v>50</v>
      </c>
      <c r="U165" s="4">
        <v>61</v>
      </c>
      <c r="V165" s="58">
        <f>IF(ISERROR(VLOOKUP($S$165,'TAR FIN'!$A$1:$O$88,15,0)),0,VLOOKUP($S$165,'TAR FIN'!$A$1:$O$88,15,0))</f>
        <v>0</v>
      </c>
      <c r="W165" s="58">
        <f>IF(ISERROR(VLOOKUP($T$165,'TAR FIN'!$A$1:$O$88,15,0)),0,VLOOKUP($T$165,'TAR FIN'!$A$1:$O$88,15,0))*(1-0.04)</f>
        <v>57.964799999999997</v>
      </c>
      <c r="X165" s="58">
        <f>IF(ISERROR(VLOOKUP($U$165,'TAR FIN'!$A$1:$O$88,15,0)),0,VLOOKUP($U$165,'TAR FIN'!$A$1:$O$88,15,0))*(1-0.04)</f>
        <v>144.24959999999999</v>
      </c>
      <c r="Y165" s="58"/>
      <c r="Z165" s="58">
        <f ca="1">('TUSD BE'!$AM$12+'TUSD BF'!$AM$12+'TUSD CVA'!$AM$12)*1*(1-0.02)</f>
        <v>92.627340869864895</v>
      </c>
      <c r="AA165" s="58">
        <f>('TE BE'!$AB$6+'TE BF'!$AB$6+'TE CVA'!$AB$6)*1*(1-0.02)</f>
        <v>133.89020396648343</v>
      </c>
      <c r="AB165" s="4">
        <f>$K$165*$V$165</f>
        <v>0</v>
      </c>
      <c r="AC165" s="4">
        <f>$M$165*$W$165</f>
        <v>2055.2579135999999</v>
      </c>
      <c r="AD165" s="4">
        <f>$O$165*$X$165</f>
        <v>5114.6580672</v>
      </c>
      <c r="AE165" s="4">
        <f>$K$165*$Y$165</f>
        <v>0</v>
      </c>
      <c r="AF165" s="4">
        <f ca="1">$M$165*$Z$165</f>
        <v>3284.2876252227998</v>
      </c>
      <c r="AG165" s="4">
        <f>$O$165*$AA$165</f>
        <v>4747.3449620396032</v>
      </c>
    </row>
    <row r="166" spans="1:33" ht="11.25" customHeight="1" x14ac:dyDescent="0.25">
      <c r="A166" s="3" t="s">
        <v>21</v>
      </c>
      <c r="B166" s="3" t="s">
        <v>35</v>
      </c>
      <c r="C166" s="3" t="s">
        <v>39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38</v>
      </c>
      <c r="I166" s="6">
        <v>44470</v>
      </c>
      <c r="J166" s="4">
        <v>0</v>
      </c>
      <c r="K166" s="58">
        <v>0</v>
      </c>
      <c r="L166" s="4">
        <v>36.095999999999997</v>
      </c>
      <c r="M166" s="58">
        <v>36.095999999999997</v>
      </c>
      <c r="N166" s="4">
        <v>36.095999999999997</v>
      </c>
      <c r="O166" s="58">
        <v>36.095999999999997</v>
      </c>
      <c r="P166" s="4">
        <v>0</v>
      </c>
      <c r="Q166" s="3" t="s">
        <v>26</v>
      </c>
      <c r="R166" s="3">
        <v>0</v>
      </c>
      <c r="S166" s="4">
        <v>0</v>
      </c>
      <c r="T166" s="4">
        <v>50</v>
      </c>
      <c r="U166" s="4">
        <v>61</v>
      </c>
      <c r="V166" s="58">
        <f>IF(ISERROR(VLOOKUP($S$166,'TAR FIN'!$A$1:$O$88,15,0)),0,VLOOKUP($S$166,'TAR FIN'!$A$1:$O$88,15,0))</f>
        <v>0</v>
      </c>
      <c r="W166" s="58">
        <f>IF(ISERROR(VLOOKUP($T$166,'TAR FIN'!$A$1:$O$88,15,0)),0,VLOOKUP($T$166,'TAR FIN'!$A$1:$O$88,15,0))*(1-0.04)</f>
        <v>57.964799999999997</v>
      </c>
      <c r="X166" s="58">
        <f>IF(ISERROR(VLOOKUP($U$166,'TAR FIN'!$A$1:$O$88,15,0)),0,VLOOKUP($U$166,'TAR FIN'!$A$1:$O$88,15,0))*(1-0.04)</f>
        <v>144.24959999999999</v>
      </c>
      <c r="Y166" s="58"/>
      <c r="Z166" s="58">
        <f ca="1">('TUSD BE'!$AM$12+'TUSD BF'!$AM$12+'TUSD CVA'!$AM$12)*1*(1-0.02)</f>
        <v>92.627340869864895</v>
      </c>
      <c r="AA166" s="58">
        <f>('TE BE'!$AB$6+'TE BF'!$AB$6+'TE CVA'!$AB$6)*1*(1-0.02)</f>
        <v>133.89020396648343</v>
      </c>
      <c r="AB166" s="4">
        <f>$K$166*$V$166</f>
        <v>0</v>
      </c>
      <c r="AC166" s="4">
        <f>$M$166*$W$166</f>
        <v>2092.2974207999996</v>
      </c>
      <c r="AD166" s="4">
        <f>$O$166*$X$166</f>
        <v>5206.8335615999986</v>
      </c>
      <c r="AE166" s="4">
        <f>$K$166*$Y$166</f>
        <v>0</v>
      </c>
      <c r="AF166" s="4">
        <f ca="1">$M$166*$Z$166</f>
        <v>3343.4764960386428</v>
      </c>
      <c r="AG166" s="4">
        <f>$O$166*$AA$166</f>
        <v>4832.9008023741853</v>
      </c>
    </row>
    <row r="167" spans="1:33" ht="11.25" customHeight="1" x14ac:dyDescent="0.25">
      <c r="A167" s="3" t="s">
        <v>21</v>
      </c>
      <c r="B167" s="3" t="s">
        <v>35</v>
      </c>
      <c r="C167" s="3" t="s">
        <v>39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38</v>
      </c>
      <c r="I167" s="6">
        <v>44501</v>
      </c>
      <c r="J167" s="4">
        <v>0</v>
      </c>
      <c r="K167" s="58">
        <v>0</v>
      </c>
      <c r="L167" s="4">
        <v>37.720999999999997</v>
      </c>
      <c r="M167" s="58">
        <v>37.720999999999997</v>
      </c>
      <c r="N167" s="4">
        <v>37.720999999999997</v>
      </c>
      <c r="O167" s="58">
        <v>37.720999999999997</v>
      </c>
      <c r="P167" s="4">
        <v>0</v>
      </c>
      <c r="Q167" s="3" t="s">
        <v>26</v>
      </c>
      <c r="R167" s="3">
        <v>0</v>
      </c>
      <c r="S167" s="4">
        <v>0</v>
      </c>
      <c r="T167" s="4">
        <v>50</v>
      </c>
      <c r="U167" s="4">
        <v>61</v>
      </c>
      <c r="V167" s="58">
        <f>IF(ISERROR(VLOOKUP($S$167,'TAR FIN'!$A$1:$O$88,15,0)),0,VLOOKUP($S$167,'TAR FIN'!$A$1:$O$88,15,0))</f>
        <v>0</v>
      </c>
      <c r="W167" s="58">
        <f>IF(ISERROR(VLOOKUP($T$167,'TAR FIN'!$A$1:$O$88,15,0)),0,VLOOKUP($T$167,'TAR FIN'!$A$1:$O$88,15,0))*(1-0.04)</f>
        <v>57.964799999999997</v>
      </c>
      <c r="X167" s="58">
        <f>IF(ISERROR(VLOOKUP($U$167,'TAR FIN'!$A$1:$O$88,15,0)),0,VLOOKUP($U$167,'TAR FIN'!$A$1:$O$88,15,0))*(1-0.04)</f>
        <v>144.24959999999999</v>
      </c>
      <c r="Y167" s="58"/>
      <c r="Z167" s="58">
        <f ca="1">('TUSD BE'!$AM$12+'TUSD BF'!$AM$12+'TUSD CVA'!$AM$12)*1*(1-0.02)</f>
        <v>92.627340869864895</v>
      </c>
      <c r="AA167" s="58">
        <f>('TE BE'!$AB$6+'TE BF'!$AB$6+'TE CVA'!$AB$6)*1*(1-0.02)</f>
        <v>133.89020396648343</v>
      </c>
      <c r="AB167" s="4">
        <f>$K$167*$V$167</f>
        <v>0</v>
      </c>
      <c r="AC167" s="4">
        <f>$M$167*$W$167</f>
        <v>2186.4902207999999</v>
      </c>
      <c r="AD167" s="4">
        <f>$O$167*$X$167</f>
        <v>5441.2391615999986</v>
      </c>
      <c r="AE167" s="4">
        <f>$K$167*$Y$167</f>
        <v>0</v>
      </c>
      <c r="AF167" s="4">
        <f ca="1">$M$167*$Z$167</f>
        <v>3493.9959249521735</v>
      </c>
      <c r="AG167" s="4">
        <f>$O$167*$AA$167</f>
        <v>5050.4723838197206</v>
      </c>
    </row>
    <row r="168" spans="1:33" ht="11.25" customHeight="1" x14ac:dyDescent="0.25">
      <c r="A168" s="3" t="s">
        <v>21</v>
      </c>
      <c r="B168" s="3" t="s">
        <v>35</v>
      </c>
      <c r="C168" s="3" t="s">
        <v>39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38</v>
      </c>
      <c r="I168" s="6">
        <v>44531</v>
      </c>
      <c r="J168" s="4">
        <v>0</v>
      </c>
      <c r="K168" s="58">
        <v>0</v>
      </c>
      <c r="L168" s="4">
        <v>39.991</v>
      </c>
      <c r="M168" s="58">
        <v>39.991</v>
      </c>
      <c r="N168" s="4">
        <v>39.991</v>
      </c>
      <c r="O168" s="58">
        <v>39.991</v>
      </c>
      <c r="P168" s="4">
        <v>0</v>
      </c>
      <c r="Q168" s="3" t="s">
        <v>26</v>
      </c>
      <c r="R168" s="3">
        <v>0</v>
      </c>
      <c r="S168" s="4">
        <v>0</v>
      </c>
      <c r="T168" s="4">
        <v>50</v>
      </c>
      <c r="U168" s="4">
        <v>61</v>
      </c>
      <c r="V168" s="58">
        <f>IF(ISERROR(VLOOKUP($S$168,'TAR FIN'!$A$1:$O$88,15,0)),0,VLOOKUP($S$168,'TAR FIN'!$A$1:$O$88,15,0))</f>
        <v>0</v>
      </c>
      <c r="W168" s="58">
        <f>IF(ISERROR(VLOOKUP($T$168,'TAR FIN'!$A$1:$O$88,15,0)),0,VLOOKUP($T$168,'TAR FIN'!$A$1:$O$88,15,0))*(1-0.04)</f>
        <v>57.964799999999997</v>
      </c>
      <c r="X168" s="58">
        <f>IF(ISERROR(VLOOKUP($U$168,'TAR FIN'!$A$1:$O$88,15,0)),0,VLOOKUP($U$168,'TAR FIN'!$A$1:$O$88,15,0))*(1-0.04)</f>
        <v>144.24959999999999</v>
      </c>
      <c r="Y168" s="58"/>
      <c r="Z168" s="58">
        <f ca="1">('TUSD BE'!$AM$12+'TUSD BF'!$AM$12+'TUSD CVA'!$AM$12)*1*(1-0.02)</f>
        <v>92.627340869864895</v>
      </c>
      <c r="AA168" s="58">
        <f>('TE BE'!$AB$6+'TE BF'!$AB$6+'TE CVA'!$AB$6)*1*(1-0.02)</f>
        <v>133.89020396648343</v>
      </c>
      <c r="AB168" s="4">
        <f>$K$168*$V$168</f>
        <v>0</v>
      </c>
      <c r="AC168" s="4">
        <f>$M$168*$W$168</f>
        <v>2318.0703168</v>
      </c>
      <c r="AD168" s="4">
        <f>$O$168*$X$168</f>
        <v>5768.6857535999998</v>
      </c>
      <c r="AE168" s="4">
        <f>$K$168*$Y$168</f>
        <v>0</v>
      </c>
      <c r="AF168" s="4">
        <f ca="1">$M$168*$Z$168</f>
        <v>3704.259988726767</v>
      </c>
      <c r="AG168" s="4">
        <f>$O$168*$AA$168</f>
        <v>5354.403146823639</v>
      </c>
    </row>
    <row r="169" spans="1:33" ht="11.25" customHeight="1" x14ac:dyDescent="0.25">
      <c r="A169" s="3" t="s">
        <v>21</v>
      </c>
      <c r="B169" s="3" t="s">
        <v>35</v>
      </c>
      <c r="C169" s="3" t="s">
        <v>39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38</v>
      </c>
      <c r="I169" s="6">
        <v>44562</v>
      </c>
      <c r="J169" s="4">
        <v>0</v>
      </c>
      <c r="K169" s="58">
        <v>0</v>
      </c>
      <c r="L169" s="4">
        <v>40.545999999999999</v>
      </c>
      <c r="M169" s="58">
        <v>40.545999999999999</v>
      </c>
      <c r="N169" s="4">
        <v>40.545999999999999</v>
      </c>
      <c r="O169" s="58">
        <v>40.545999999999999</v>
      </c>
      <c r="P169" s="4">
        <v>0</v>
      </c>
      <c r="Q169" s="3" t="s">
        <v>26</v>
      </c>
      <c r="R169" s="3">
        <v>0</v>
      </c>
      <c r="S169" s="4">
        <v>0</v>
      </c>
      <c r="T169" s="4">
        <v>50</v>
      </c>
      <c r="U169" s="4">
        <v>61</v>
      </c>
      <c r="V169" s="58">
        <f>IF(ISERROR(VLOOKUP($S$169,'TAR FIN'!$A$1:$O$88,15,0)),0,VLOOKUP($S$169,'TAR FIN'!$A$1:$O$88,15,0))</f>
        <v>0</v>
      </c>
      <c r="W169" s="58">
        <f>IF(ISERROR(VLOOKUP($T$169,'TAR FIN'!$A$1:$O$88,15,0)),0,VLOOKUP($T$169,'TAR FIN'!$A$1:$O$88,15,0))*(1-0.04)</f>
        <v>57.964799999999997</v>
      </c>
      <c r="X169" s="58">
        <f>IF(ISERROR(VLOOKUP($U$169,'TAR FIN'!$A$1:$O$88,15,0)),0,VLOOKUP($U$169,'TAR FIN'!$A$1:$O$88,15,0))*(1-0.04)</f>
        <v>144.24959999999999</v>
      </c>
      <c r="Y169" s="58"/>
      <c r="Z169" s="58">
        <f ca="1">('TUSD BE'!$AM$12+'TUSD BF'!$AM$12+'TUSD CVA'!$AM$12)*1*(1-0.02)</f>
        <v>92.627340869864895</v>
      </c>
      <c r="AA169" s="58">
        <f>('TE BE'!$AB$6+'TE BF'!$AB$6+'TE CVA'!$AB$6)*1*(1-0.02)</f>
        <v>133.89020396648343</v>
      </c>
      <c r="AB169" s="4">
        <f>$K$169*$V$169</f>
        <v>0</v>
      </c>
      <c r="AC169" s="4">
        <f>$M$169*$W$169</f>
        <v>2350.2407807999998</v>
      </c>
      <c r="AD169" s="4">
        <f>$O$169*$X$169</f>
        <v>5848.7442815999993</v>
      </c>
      <c r="AE169" s="4">
        <f>$K$169*$Y$169</f>
        <v>0</v>
      </c>
      <c r="AF169" s="4">
        <f ca="1">$M$169*$Z$169</f>
        <v>3755.6681629095419</v>
      </c>
      <c r="AG169" s="4">
        <f>$O$169*$AA$169</f>
        <v>5428.7122100250372</v>
      </c>
    </row>
    <row r="170" spans="1:33" ht="11.25" customHeight="1" x14ac:dyDescent="0.25">
      <c r="A170" s="3" t="s">
        <v>21</v>
      </c>
      <c r="B170" s="3" t="s">
        <v>35</v>
      </c>
      <c r="C170" s="3" t="s">
        <v>39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38</v>
      </c>
      <c r="I170" s="6">
        <v>44593</v>
      </c>
      <c r="J170" s="4">
        <v>0</v>
      </c>
      <c r="K170" s="58">
        <v>0</v>
      </c>
      <c r="L170" s="4">
        <v>40.496000000000002</v>
      </c>
      <c r="M170" s="58">
        <v>40.496000000000002</v>
      </c>
      <c r="N170" s="4">
        <v>40.496000000000002</v>
      </c>
      <c r="O170" s="58">
        <v>40.496000000000002</v>
      </c>
      <c r="P170" s="4">
        <v>0</v>
      </c>
      <c r="Q170" s="3" t="s">
        <v>26</v>
      </c>
      <c r="R170" s="3">
        <v>0</v>
      </c>
      <c r="S170" s="4">
        <v>0</v>
      </c>
      <c r="T170" s="4">
        <v>50</v>
      </c>
      <c r="U170" s="4">
        <v>61</v>
      </c>
      <c r="V170" s="58">
        <f>IF(ISERROR(VLOOKUP($S$170,'TAR FIN'!$A$1:$O$88,15,0)),0,VLOOKUP($S$170,'TAR FIN'!$A$1:$O$88,15,0))</f>
        <v>0</v>
      </c>
      <c r="W170" s="58">
        <f>IF(ISERROR(VLOOKUP($T$170,'TAR FIN'!$A$1:$O$88,15,0)),0,VLOOKUP($T$170,'TAR FIN'!$A$1:$O$88,15,0))*(1-0.04)</f>
        <v>57.964799999999997</v>
      </c>
      <c r="X170" s="58">
        <f>IF(ISERROR(VLOOKUP($U$170,'TAR FIN'!$A$1:$O$88,15,0)),0,VLOOKUP($U$170,'TAR FIN'!$A$1:$O$88,15,0))*(1-0.04)</f>
        <v>144.24959999999999</v>
      </c>
      <c r="Y170" s="58"/>
      <c r="Z170" s="58">
        <f ca="1">('TUSD BE'!$AM$12+'TUSD BF'!$AM$12+'TUSD CVA'!$AM$12)*1*(1-0.02)</f>
        <v>92.627340869864895</v>
      </c>
      <c r="AA170" s="58">
        <f>('TE BE'!$AB$6+'TE BF'!$AB$6+'TE CVA'!$AB$6)*1*(1-0.02)</f>
        <v>133.89020396648343</v>
      </c>
      <c r="AB170" s="4">
        <f>$K$170*$V$170</f>
        <v>0</v>
      </c>
      <c r="AC170" s="4">
        <f>$M$170*$W$170</f>
        <v>2347.3425407999998</v>
      </c>
      <c r="AD170" s="4">
        <f>$O$170*$X$170</f>
        <v>5841.5318016000001</v>
      </c>
      <c r="AE170" s="4">
        <f>$K$170*$Y$170</f>
        <v>0</v>
      </c>
      <c r="AF170" s="4">
        <f ca="1">$M$170*$Z$170</f>
        <v>3751.036795866049</v>
      </c>
      <c r="AG170" s="4">
        <f>$O$170*$AA$170</f>
        <v>5422.0176998267134</v>
      </c>
    </row>
    <row r="171" spans="1:33" ht="11.25" customHeight="1" x14ac:dyDescent="0.25">
      <c r="A171" s="3" t="s">
        <v>21</v>
      </c>
      <c r="B171" s="3" t="s">
        <v>35</v>
      </c>
      <c r="C171" s="3" t="s">
        <v>39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38</v>
      </c>
      <c r="I171" s="6">
        <v>44621</v>
      </c>
      <c r="J171" s="4">
        <v>0</v>
      </c>
      <c r="K171" s="58">
        <v>0</v>
      </c>
      <c r="L171" s="4">
        <v>39.790999999999997</v>
      </c>
      <c r="M171" s="58">
        <v>39.790999999999997</v>
      </c>
      <c r="N171" s="4">
        <v>39.790999999999997</v>
      </c>
      <c r="O171" s="58">
        <v>39.790999999999997</v>
      </c>
      <c r="P171" s="4">
        <v>0</v>
      </c>
      <c r="Q171" s="3" t="s">
        <v>26</v>
      </c>
      <c r="R171" s="3">
        <v>0</v>
      </c>
      <c r="S171" s="4">
        <v>0</v>
      </c>
      <c r="T171" s="4">
        <v>50</v>
      </c>
      <c r="U171" s="4">
        <v>61</v>
      </c>
      <c r="V171" s="58">
        <f>IF(ISERROR(VLOOKUP($S$171,'TAR FIN'!$A$1:$O$88,15,0)),0,VLOOKUP($S$171,'TAR FIN'!$A$1:$O$88,15,0))</f>
        <v>0</v>
      </c>
      <c r="W171" s="58">
        <f>IF(ISERROR(VLOOKUP($T$171,'TAR FIN'!$A$1:$O$88,15,0)),0,VLOOKUP($T$171,'TAR FIN'!$A$1:$O$88,15,0))*(1-0.04)</f>
        <v>57.964799999999997</v>
      </c>
      <c r="X171" s="58">
        <f>IF(ISERROR(VLOOKUP($U$171,'TAR FIN'!$A$1:$O$88,15,0)),0,VLOOKUP($U$171,'TAR FIN'!$A$1:$O$88,15,0))*(1-0.04)</f>
        <v>144.24959999999999</v>
      </c>
      <c r="Y171" s="58"/>
      <c r="Z171" s="58">
        <f ca="1">('TUSD BE'!$AM$12+'TUSD BF'!$AM$12+'TUSD CVA'!$AM$12)*1*(1-0.02)</f>
        <v>92.627340869864895</v>
      </c>
      <c r="AA171" s="58">
        <f>('TE BE'!$AB$6+'TE BF'!$AB$6+'TE CVA'!$AB$6)*1*(1-0.02)</f>
        <v>133.89020396648343</v>
      </c>
      <c r="AB171" s="4">
        <f>$K$171*$V$171</f>
        <v>0</v>
      </c>
      <c r="AC171" s="4">
        <f>$M$171*$W$171</f>
        <v>2306.4773567999996</v>
      </c>
      <c r="AD171" s="4">
        <f>$O$171*$X$171</f>
        <v>5739.8358335999992</v>
      </c>
      <c r="AE171" s="4">
        <f>$K$171*$Y$171</f>
        <v>0</v>
      </c>
      <c r="AF171" s="4">
        <f ca="1">$M$171*$Z$171</f>
        <v>3685.7345205527936</v>
      </c>
      <c r="AG171" s="4">
        <f>$O$171*$AA$171</f>
        <v>5327.6251060303412</v>
      </c>
    </row>
    <row r="172" spans="1:33" ht="11.25" customHeight="1" x14ac:dyDescent="0.25">
      <c r="A172" s="3" t="s">
        <v>21</v>
      </c>
      <c r="B172" s="3" t="s">
        <v>35</v>
      </c>
      <c r="C172" s="3" t="s">
        <v>39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38</v>
      </c>
      <c r="I172" s="6">
        <v>44652</v>
      </c>
      <c r="J172" s="4">
        <v>0</v>
      </c>
      <c r="K172" s="58">
        <v>0</v>
      </c>
      <c r="L172" s="4">
        <v>38.433</v>
      </c>
      <c r="M172" s="58">
        <v>38.433</v>
      </c>
      <c r="N172" s="4">
        <v>38.433</v>
      </c>
      <c r="O172" s="58">
        <v>38.433</v>
      </c>
      <c r="P172" s="4">
        <v>0</v>
      </c>
      <c r="Q172" s="3" t="s">
        <v>26</v>
      </c>
      <c r="R172" s="3">
        <v>0</v>
      </c>
      <c r="S172" s="4">
        <v>0</v>
      </c>
      <c r="T172" s="4">
        <v>50</v>
      </c>
      <c r="U172" s="4">
        <v>61</v>
      </c>
      <c r="V172" s="58">
        <f>IF(ISERROR(VLOOKUP($S$172,'TAR FIN'!$A$1:$O$88,15,0)),0,VLOOKUP($S$172,'TAR FIN'!$A$1:$O$88,15,0))</f>
        <v>0</v>
      </c>
      <c r="W172" s="58">
        <f>IF(ISERROR(VLOOKUP($T$172,'TAR FIN'!$A$1:$O$88,15,0)),0,VLOOKUP($T$172,'TAR FIN'!$A$1:$O$88,15,0))*(1-0.04)</f>
        <v>57.964799999999997</v>
      </c>
      <c r="X172" s="58">
        <f>IF(ISERROR(VLOOKUP($U$172,'TAR FIN'!$A$1:$O$88,15,0)),0,VLOOKUP($U$172,'TAR FIN'!$A$1:$O$88,15,0))*(1-0.04)</f>
        <v>144.24959999999999</v>
      </c>
      <c r="Y172" s="58"/>
      <c r="Z172" s="58">
        <f ca="1">('TUSD BE'!$AM$12+'TUSD BF'!$AM$12+'TUSD CVA'!$AM$12)*1*(1-0.02)</f>
        <v>92.627340869864895</v>
      </c>
      <c r="AA172" s="58">
        <f>('TE BE'!$AB$6+'TE BF'!$AB$6+'TE CVA'!$AB$6)*1*(1-0.02)</f>
        <v>133.89020396648343</v>
      </c>
      <c r="AB172" s="4">
        <f>$K$172*$V$172</f>
        <v>0</v>
      </c>
      <c r="AC172" s="4">
        <f>$M$172*$W$172</f>
        <v>2227.7611583999997</v>
      </c>
      <c r="AD172" s="4">
        <f>$O$172*$X$172</f>
        <v>5543.9448767999993</v>
      </c>
      <c r="AE172" s="4">
        <f>$K$172*$Y$172</f>
        <v>0</v>
      </c>
      <c r="AF172" s="4">
        <f ca="1">$M$172*$Z$172</f>
        <v>3559.9465916515173</v>
      </c>
      <c r="AG172" s="4">
        <f>$O$172*$AA$172</f>
        <v>5145.8022090438571</v>
      </c>
    </row>
    <row r="173" spans="1:33" ht="11.25" customHeight="1" x14ac:dyDescent="0.25">
      <c r="A173" s="3" t="s">
        <v>21</v>
      </c>
      <c r="B173" s="3" t="s">
        <v>35</v>
      </c>
      <c r="C173" s="3" t="s">
        <v>39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38</v>
      </c>
      <c r="I173" s="6">
        <v>44682</v>
      </c>
      <c r="J173" s="4">
        <v>0</v>
      </c>
      <c r="K173" s="58">
        <v>0</v>
      </c>
      <c r="L173" s="4">
        <v>34.738999999999997</v>
      </c>
      <c r="M173" s="58">
        <v>34.738999999999997</v>
      </c>
      <c r="N173" s="4">
        <v>34.738999999999997</v>
      </c>
      <c r="O173" s="58">
        <v>34.738999999999997</v>
      </c>
      <c r="P173" s="4">
        <v>0</v>
      </c>
      <c r="Q173" s="3" t="s">
        <v>26</v>
      </c>
      <c r="R173" s="3">
        <v>0</v>
      </c>
      <c r="S173" s="4">
        <v>0</v>
      </c>
      <c r="T173" s="4">
        <v>50</v>
      </c>
      <c r="U173" s="4">
        <v>61</v>
      </c>
      <c r="V173" s="58">
        <f>IF(ISERROR(VLOOKUP($S$173,'TAR FIN'!$A$1:$O$88,15,0)),0,VLOOKUP($S$173,'TAR FIN'!$A$1:$O$88,15,0))</f>
        <v>0</v>
      </c>
      <c r="W173" s="58">
        <f>IF(ISERROR(VLOOKUP($T$173,'TAR FIN'!$A$1:$O$88,15,0)),0,VLOOKUP($T$173,'TAR FIN'!$A$1:$O$88,15,0))*(1-0.04)</f>
        <v>57.964799999999997</v>
      </c>
      <c r="X173" s="58">
        <f>IF(ISERROR(VLOOKUP($U$173,'TAR FIN'!$A$1:$O$88,15,0)),0,VLOOKUP($U$173,'TAR FIN'!$A$1:$O$88,15,0))*(1-0.04)</f>
        <v>144.24959999999999</v>
      </c>
      <c r="Y173" s="58"/>
      <c r="Z173" s="58">
        <f ca="1">('TUSD BE'!$AM$12+'TUSD BF'!$AM$12+'TUSD CVA'!$AM$12)*1*(1-0.02)</f>
        <v>92.627340869864895</v>
      </c>
      <c r="AA173" s="58">
        <f>('TE BE'!$AB$6+'TE BF'!$AB$6+'TE CVA'!$AB$6)*1*(1-0.02)</f>
        <v>133.89020396648343</v>
      </c>
      <c r="AB173" s="4">
        <f>$K$173*$V$173</f>
        <v>0</v>
      </c>
      <c r="AC173" s="4">
        <f>$M$173*$W$173</f>
        <v>2013.6391871999997</v>
      </c>
      <c r="AD173" s="4">
        <f>$O$173*$X$173</f>
        <v>5011.0868543999995</v>
      </c>
      <c r="AE173" s="4">
        <f>$K$173*$Y$173</f>
        <v>0</v>
      </c>
      <c r="AF173" s="4">
        <f ca="1">$M$173*$Z$173</f>
        <v>3217.7811944782361</v>
      </c>
      <c r="AG173" s="4">
        <f>$O$173*$AA$173</f>
        <v>4651.2117955916674</v>
      </c>
    </row>
    <row r="174" spans="1:33" ht="11.25" customHeight="1" x14ac:dyDescent="0.25">
      <c r="A174" s="3" t="s">
        <v>21</v>
      </c>
      <c r="B174" s="3" t="s">
        <v>35</v>
      </c>
      <c r="C174" s="3" t="s">
        <v>39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38</v>
      </c>
      <c r="I174" s="6">
        <v>44713</v>
      </c>
      <c r="J174" s="4">
        <v>0</v>
      </c>
      <c r="K174" s="58">
        <v>0</v>
      </c>
      <c r="L174" s="4">
        <v>33.51</v>
      </c>
      <c r="M174" s="58">
        <v>33.51</v>
      </c>
      <c r="N174" s="4">
        <v>33.51</v>
      </c>
      <c r="O174" s="58">
        <v>33.51</v>
      </c>
      <c r="P174" s="4">
        <v>0</v>
      </c>
      <c r="Q174" s="3" t="s">
        <v>26</v>
      </c>
      <c r="R174" s="3">
        <v>0</v>
      </c>
      <c r="S174" s="4">
        <v>0</v>
      </c>
      <c r="T174" s="4">
        <v>50</v>
      </c>
      <c r="U174" s="4">
        <v>61</v>
      </c>
      <c r="V174" s="58">
        <f>IF(ISERROR(VLOOKUP($S$174,'TAR FIN'!$A$1:$O$88,15,0)),0,VLOOKUP($S$174,'TAR FIN'!$A$1:$O$88,15,0))</f>
        <v>0</v>
      </c>
      <c r="W174" s="58">
        <f>IF(ISERROR(VLOOKUP($T$174,'TAR FIN'!$A$1:$O$88,15,0)),0,VLOOKUP($T$174,'TAR FIN'!$A$1:$O$88,15,0))*(1-0.04)</f>
        <v>57.964799999999997</v>
      </c>
      <c r="X174" s="58">
        <f>IF(ISERROR(VLOOKUP($U$174,'TAR FIN'!$A$1:$O$88,15,0)),0,VLOOKUP($U$174,'TAR FIN'!$A$1:$O$88,15,0))*(1-0.04)</f>
        <v>144.24959999999999</v>
      </c>
      <c r="Y174" s="58"/>
      <c r="Z174" s="58">
        <f ca="1">('TUSD BE'!$AM$12+'TUSD BF'!$AM$12+'TUSD CVA'!$AM$12)*1*(1-0.02)</f>
        <v>92.627340869864895</v>
      </c>
      <c r="AA174" s="58">
        <f>('TE BE'!$AB$6+'TE BF'!$AB$6+'TE CVA'!$AB$6)*1*(1-0.02)</f>
        <v>133.89020396648343</v>
      </c>
      <c r="AB174" s="4">
        <f>$K$174*$V$174</f>
        <v>0</v>
      </c>
      <c r="AC174" s="4">
        <f>$M$174*$W$174</f>
        <v>1942.4004479999999</v>
      </c>
      <c r="AD174" s="4">
        <f>$O$174*$X$174</f>
        <v>4833.8040959999989</v>
      </c>
      <c r="AE174" s="4">
        <f>$K$174*$Y$174</f>
        <v>0</v>
      </c>
      <c r="AF174" s="4">
        <f ca="1">$M$174*$Z$174</f>
        <v>3103.9421925491724</v>
      </c>
      <c r="AG174" s="4">
        <f>$O$174*$AA$174</f>
        <v>4486.6607349168589</v>
      </c>
    </row>
    <row r="175" spans="1:33" ht="11.25" customHeight="1" x14ac:dyDescent="0.25">
      <c r="A175" s="3" t="s">
        <v>21</v>
      </c>
      <c r="B175" s="3" t="s">
        <v>35</v>
      </c>
      <c r="C175" s="3" t="s">
        <v>39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38</v>
      </c>
      <c r="I175" s="6">
        <v>44743</v>
      </c>
      <c r="J175" s="4">
        <v>0</v>
      </c>
      <c r="K175" s="58">
        <v>0</v>
      </c>
      <c r="L175" s="4">
        <v>32.932000000000002</v>
      </c>
      <c r="M175" s="58">
        <v>32.932000000000002</v>
      </c>
      <c r="N175" s="4">
        <v>32.932000000000002</v>
      </c>
      <c r="O175" s="58">
        <v>32.932000000000002</v>
      </c>
      <c r="P175" s="4">
        <v>0</v>
      </c>
      <c r="Q175" s="3" t="s">
        <v>26</v>
      </c>
      <c r="R175" s="3">
        <v>0</v>
      </c>
      <c r="S175" s="4">
        <v>0</v>
      </c>
      <c r="T175" s="4">
        <v>50</v>
      </c>
      <c r="U175" s="4">
        <v>61</v>
      </c>
      <c r="V175" s="58">
        <f>IF(ISERROR(VLOOKUP($S$175,'TAR FIN'!$A$1:$O$88,15,0)),0,VLOOKUP($S$175,'TAR FIN'!$A$1:$O$88,15,0))</f>
        <v>0</v>
      </c>
      <c r="W175" s="58">
        <f>IF(ISERROR(VLOOKUP($T$175,'TAR FIN'!$A$1:$O$88,15,0)),0,VLOOKUP($T$175,'TAR FIN'!$A$1:$O$88,15,0))*(1-0.04)</f>
        <v>57.964799999999997</v>
      </c>
      <c r="X175" s="58">
        <f>IF(ISERROR(VLOOKUP($U$175,'TAR FIN'!$A$1:$O$88,15,0)),0,VLOOKUP($U$175,'TAR FIN'!$A$1:$O$88,15,0))*(1-0.04)</f>
        <v>144.24959999999999</v>
      </c>
      <c r="Y175" s="58"/>
      <c r="Z175" s="58">
        <f ca="1">('TUSD BE'!$AM$12+'TUSD BF'!$AM$12+'TUSD CVA'!$AM$12)*1*(1-0.02)</f>
        <v>92.627340869864895</v>
      </c>
      <c r="AA175" s="58">
        <f>('TE BE'!$AB$6+'TE BF'!$AB$6+'TE CVA'!$AB$6)*1*(1-0.02)</f>
        <v>133.89020396648343</v>
      </c>
      <c r="AB175" s="4">
        <f>$K$175*$V$175</f>
        <v>0</v>
      </c>
      <c r="AC175" s="4">
        <f>$M$175*$W$175</f>
        <v>1908.8967935999999</v>
      </c>
      <c r="AD175" s="4">
        <f>$O$175*$X$175</f>
        <v>4750.4278272000001</v>
      </c>
      <c r="AE175" s="4">
        <f>$K$175*$Y$175</f>
        <v>0</v>
      </c>
      <c r="AF175" s="4">
        <f ca="1">$M$175*$Z$175</f>
        <v>3050.403589526391</v>
      </c>
      <c r="AG175" s="4">
        <f>$O$175*$AA$175</f>
        <v>4409.2721970242328</v>
      </c>
    </row>
    <row r="176" spans="1:33" ht="11.25" customHeight="1" x14ac:dyDescent="0.25">
      <c r="A176" s="3" t="s">
        <v>55</v>
      </c>
      <c r="B176" s="3" t="s">
        <v>35</v>
      </c>
      <c r="C176" s="3" t="s">
        <v>39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38</v>
      </c>
      <c r="I176" s="6">
        <v>44774</v>
      </c>
      <c r="J176" s="4">
        <v>0</v>
      </c>
      <c r="K176" s="58">
        <v>0</v>
      </c>
      <c r="L176" s="4">
        <v>32.932000000000002</v>
      </c>
      <c r="M176" s="58">
        <v>32.932000000000002</v>
      </c>
      <c r="N176" s="4">
        <v>32.932000000000002</v>
      </c>
      <c r="O176" s="58">
        <v>32.932000000000002</v>
      </c>
      <c r="P176" s="4">
        <v>0</v>
      </c>
      <c r="Q176" s="3" t="s">
        <v>26</v>
      </c>
      <c r="R176" s="3">
        <v>0</v>
      </c>
      <c r="S176" s="4">
        <v>0</v>
      </c>
      <c r="T176" s="4">
        <v>50</v>
      </c>
      <c r="U176" s="4">
        <v>61</v>
      </c>
      <c r="V176" s="58">
        <f>IF(ISERROR(VLOOKUP($S$176,'TAR FIN'!$A$1:$O$88,15,0)),0,VLOOKUP($S$176,'TAR FIN'!$A$1:$O$88,15,0))</f>
        <v>0</v>
      </c>
      <c r="W176" s="58">
        <f>IF(ISERROR(VLOOKUP($T$176,'TAR FIN'!$A$1:$O$88,15,0)),0,VLOOKUP($T$176,'TAR FIN'!$A$1:$O$88,15,0))*(1-0.04)</f>
        <v>57.964799999999997</v>
      </c>
      <c r="X176" s="58">
        <f>IF(ISERROR(VLOOKUP($U$176,'TAR FIN'!$A$1:$O$88,15,0)),0,VLOOKUP($U$176,'TAR FIN'!$A$1:$O$88,15,0))*(1-0.04)</f>
        <v>144.24959999999999</v>
      </c>
      <c r="Y176" s="58"/>
      <c r="Z176" s="58">
        <f ca="1">('TUSD BE'!$AM$12+'TUSD BF'!$AM$12+'TUSD CVA'!$AM$12)*1*(1-0.02)</f>
        <v>92.627340869864895</v>
      </c>
      <c r="AA176" s="58">
        <f>('TE BE'!$AB$6+'TE BF'!$AB$6+'TE CVA'!$AB$6)*1*(1-0.02)</f>
        <v>133.89020396648343</v>
      </c>
      <c r="AB176" s="4">
        <f>$K$176*$V$176</f>
        <v>0</v>
      </c>
      <c r="AC176" s="4">
        <f>$M$176*$W$176</f>
        <v>1908.8967935999999</v>
      </c>
      <c r="AD176" s="4">
        <f>$O$176*$X$176</f>
        <v>4750.4278272000001</v>
      </c>
      <c r="AE176" s="4">
        <f>$K$176*$Y$176</f>
        <v>0</v>
      </c>
      <c r="AF176" s="4">
        <f ca="1">$M$176*$Z$176</f>
        <v>3050.403589526391</v>
      </c>
      <c r="AG176" s="4">
        <f>$O$176*$AA$176</f>
        <v>4409.2721970242328</v>
      </c>
    </row>
    <row r="177" spans="1:33" ht="11.25" customHeight="1" x14ac:dyDescent="0.25">
      <c r="A177" s="3" t="s">
        <v>21</v>
      </c>
      <c r="B177" s="3" t="s">
        <v>35</v>
      </c>
      <c r="C177" s="3" t="s">
        <v>39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44440</v>
      </c>
      <c r="J177" s="4">
        <v>134</v>
      </c>
      <c r="K177" s="58">
        <v>134</v>
      </c>
      <c r="L177" s="4">
        <v>0</v>
      </c>
      <c r="M177" s="58">
        <v>0</v>
      </c>
      <c r="N177" s="4">
        <v>0</v>
      </c>
      <c r="O177" s="58">
        <v>0</v>
      </c>
      <c r="P177" s="4">
        <v>1</v>
      </c>
      <c r="Q177" s="3" t="s">
        <v>26</v>
      </c>
      <c r="R177" s="3">
        <v>0</v>
      </c>
      <c r="S177" s="4">
        <v>46</v>
      </c>
      <c r="T177" s="4">
        <v>0</v>
      </c>
      <c r="U177" s="4">
        <v>0</v>
      </c>
      <c r="V177" s="58">
        <f>IF(ISERROR(VLOOKUP($S$177,'TAR FIN'!$A$1:$O$88,15,0)),0,VLOOKUP($S$177,'TAR FIN'!$A$1:$O$88,15,0))*(1-0.04)</f>
        <v>33.100799999999992</v>
      </c>
      <c r="W177" s="58">
        <f>IF(ISERROR(VLOOKUP($T$177,'TAR FIN'!$A$1:$O$88,15,0)),0,VLOOKUP($T$177,'TAR FIN'!$A$1:$O$88,15,0))</f>
        <v>0</v>
      </c>
      <c r="X177" s="58">
        <f>IF(ISERROR(VLOOKUP($U$177,'TAR FIN'!$A$1:$O$88,15,0)),0,VLOOKUP($U$177,'TAR FIN'!$A$1:$O$88,15,0))</f>
        <v>0</v>
      </c>
      <c r="Y177" s="58">
        <f ca="1">('TUSD BE'!$AM$10+'TUSD BF'!$AM$10+'TUSD CVA'!$AM$10)*1*(1-0.02)</f>
        <v>36.967413069659798</v>
      </c>
      <c r="Z177" s="58"/>
      <c r="AA177" s="58"/>
      <c r="AB177" s="4">
        <f>$K$177*$V$177</f>
        <v>4435.5071999999991</v>
      </c>
      <c r="AC177" s="4">
        <f>$M$177*$W$177</f>
        <v>0</v>
      </c>
      <c r="AD177" s="4">
        <f>$O$177*$X$177</f>
        <v>0</v>
      </c>
      <c r="AE177" s="4">
        <f ca="1">$K$177*$Y$177</f>
        <v>4953.6333513344134</v>
      </c>
      <c r="AF177" s="4">
        <f>$M$177*$Z$177</f>
        <v>0</v>
      </c>
      <c r="AG177" s="4">
        <f>$O$177*$AA$177</f>
        <v>0</v>
      </c>
    </row>
    <row r="178" spans="1:33" ht="11.25" customHeight="1" x14ac:dyDescent="0.25">
      <c r="A178" s="3" t="s">
        <v>21</v>
      </c>
      <c r="B178" s="3" t="s">
        <v>35</v>
      </c>
      <c r="C178" s="3" t="s">
        <v>39</v>
      </c>
      <c r="D178" s="3" t="s">
        <v>44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44470</v>
      </c>
      <c r="J178" s="4">
        <v>142</v>
      </c>
      <c r="K178" s="58">
        <v>142</v>
      </c>
      <c r="L178" s="4">
        <v>0</v>
      </c>
      <c r="M178" s="58">
        <v>0</v>
      </c>
      <c r="N178" s="4">
        <v>0</v>
      </c>
      <c r="O178" s="58">
        <v>0</v>
      </c>
      <c r="P178" s="4">
        <v>1</v>
      </c>
      <c r="Q178" s="3" t="s">
        <v>26</v>
      </c>
      <c r="R178" s="3">
        <v>0</v>
      </c>
      <c r="S178" s="4">
        <v>46</v>
      </c>
      <c r="T178" s="4">
        <v>0</v>
      </c>
      <c r="U178" s="4">
        <v>0</v>
      </c>
      <c r="V178" s="58">
        <f>IF(ISERROR(VLOOKUP($S$178,'TAR FIN'!$A$1:$O$88,15,0)),0,VLOOKUP($S$178,'TAR FIN'!$A$1:$O$88,15,0))*(1-0.04)</f>
        <v>33.100799999999992</v>
      </c>
      <c r="W178" s="58">
        <f>IF(ISERROR(VLOOKUP($T$178,'TAR FIN'!$A$1:$O$88,15,0)),0,VLOOKUP($T$178,'TAR FIN'!$A$1:$O$88,15,0))</f>
        <v>0</v>
      </c>
      <c r="X178" s="58">
        <f>IF(ISERROR(VLOOKUP($U$178,'TAR FIN'!$A$1:$O$88,15,0)),0,VLOOKUP($U$178,'TAR FIN'!$A$1:$O$88,15,0))</f>
        <v>0</v>
      </c>
      <c r="Y178" s="58">
        <f ca="1">('TUSD BE'!$AM$10+'TUSD BF'!$AM$10+'TUSD CVA'!$AM$10)*1*(1-0.02)</f>
        <v>36.967413069659798</v>
      </c>
      <c r="Z178" s="58"/>
      <c r="AA178" s="58"/>
      <c r="AB178" s="4">
        <f>$K$178*$V$178</f>
        <v>4700.3135999999986</v>
      </c>
      <c r="AC178" s="4">
        <f>$M$178*$W$178</f>
        <v>0</v>
      </c>
      <c r="AD178" s="4">
        <f>$O$178*$X$178</f>
        <v>0</v>
      </c>
      <c r="AE178" s="4">
        <f ca="1">$K$178*$Y$178</f>
        <v>5249.3726558916915</v>
      </c>
      <c r="AF178" s="4">
        <f>$M$178*$Z$178</f>
        <v>0</v>
      </c>
      <c r="AG178" s="4">
        <f>$O$178*$AA$178</f>
        <v>0</v>
      </c>
    </row>
    <row r="179" spans="1:33" ht="11.25" customHeight="1" x14ac:dyDescent="0.25">
      <c r="A179" s="3" t="s">
        <v>21</v>
      </c>
      <c r="B179" s="3" t="s">
        <v>35</v>
      </c>
      <c r="C179" s="3" t="s">
        <v>39</v>
      </c>
      <c r="D179" s="3" t="s">
        <v>44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44501</v>
      </c>
      <c r="J179" s="4">
        <v>153</v>
      </c>
      <c r="K179" s="58">
        <v>153</v>
      </c>
      <c r="L179" s="4">
        <v>0</v>
      </c>
      <c r="M179" s="58">
        <v>0</v>
      </c>
      <c r="N179" s="4">
        <v>0</v>
      </c>
      <c r="O179" s="58">
        <v>0</v>
      </c>
      <c r="P179" s="4">
        <v>1</v>
      </c>
      <c r="Q179" s="3" t="s">
        <v>26</v>
      </c>
      <c r="R179" s="3">
        <v>0</v>
      </c>
      <c r="S179" s="4">
        <v>46</v>
      </c>
      <c r="T179" s="4">
        <v>0</v>
      </c>
      <c r="U179" s="4">
        <v>0</v>
      </c>
      <c r="V179" s="58">
        <f>IF(ISERROR(VLOOKUP($S$179,'TAR FIN'!$A$1:$O$88,15,0)),0,VLOOKUP($S$179,'TAR FIN'!$A$1:$O$88,15,0))*(1-0.04)</f>
        <v>33.100799999999992</v>
      </c>
      <c r="W179" s="58">
        <f>IF(ISERROR(VLOOKUP($T$179,'TAR FIN'!$A$1:$O$88,15,0)),0,VLOOKUP($T$179,'TAR FIN'!$A$1:$O$88,15,0))</f>
        <v>0</v>
      </c>
      <c r="X179" s="58">
        <f>IF(ISERROR(VLOOKUP($U$179,'TAR FIN'!$A$1:$O$88,15,0)),0,VLOOKUP($U$179,'TAR FIN'!$A$1:$O$88,15,0))</f>
        <v>0</v>
      </c>
      <c r="Y179" s="58">
        <f ca="1">('TUSD BE'!$AM$10+'TUSD BF'!$AM$10+'TUSD CVA'!$AM$10)*1*(1-0.02)</f>
        <v>36.967413069659798</v>
      </c>
      <c r="Z179" s="58"/>
      <c r="AA179" s="58"/>
      <c r="AB179" s="4">
        <f>$K$179*$V$179</f>
        <v>5064.4223999999986</v>
      </c>
      <c r="AC179" s="4">
        <f>$M$179*$W$179</f>
        <v>0</v>
      </c>
      <c r="AD179" s="4">
        <f>$O$179*$X$179</f>
        <v>0</v>
      </c>
      <c r="AE179" s="4">
        <f ca="1">$K$179*$Y$179</f>
        <v>5656.0141996579496</v>
      </c>
      <c r="AF179" s="4">
        <f>$M$179*$Z$179</f>
        <v>0</v>
      </c>
      <c r="AG179" s="4">
        <f>$O$179*$AA$179</f>
        <v>0</v>
      </c>
    </row>
    <row r="180" spans="1:33" ht="11.25" customHeight="1" x14ac:dyDescent="0.25">
      <c r="A180" s="3" t="s">
        <v>21</v>
      </c>
      <c r="B180" s="3" t="s">
        <v>35</v>
      </c>
      <c r="C180" s="3" t="s">
        <v>39</v>
      </c>
      <c r="D180" s="3" t="s">
        <v>44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44531</v>
      </c>
      <c r="J180" s="4">
        <v>150</v>
      </c>
      <c r="K180" s="58">
        <v>150</v>
      </c>
      <c r="L180" s="4">
        <v>0</v>
      </c>
      <c r="M180" s="58">
        <v>0</v>
      </c>
      <c r="N180" s="4">
        <v>0</v>
      </c>
      <c r="O180" s="58">
        <v>0</v>
      </c>
      <c r="P180" s="4">
        <v>1</v>
      </c>
      <c r="Q180" s="3" t="s">
        <v>26</v>
      </c>
      <c r="R180" s="3">
        <v>0</v>
      </c>
      <c r="S180" s="4">
        <v>46</v>
      </c>
      <c r="T180" s="4">
        <v>0</v>
      </c>
      <c r="U180" s="4">
        <v>0</v>
      </c>
      <c r="V180" s="58">
        <f>IF(ISERROR(VLOOKUP($S$180,'TAR FIN'!$A$1:$O$88,15,0)),0,VLOOKUP($S$180,'TAR FIN'!$A$1:$O$88,15,0))*(1-0.04)</f>
        <v>33.100799999999992</v>
      </c>
      <c r="W180" s="58">
        <f>IF(ISERROR(VLOOKUP($T$180,'TAR FIN'!$A$1:$O$88,15,0)),0,VLOOKUP($T$180,'TAR FIN'!$A$1:$O$88,15,0))</f>
        <v>0</v>
      </c>
      <c r="X180" s="58">
        <f>IF(ISERROR(VLOOKUP($U$180,'TAR FIN'!$A$1:$O$88,15,0)),0,VLOOKUP($U$180,'TAR FIN'!$A$1:$O$88,15,0))</f>
        <v>0</v>
      </c>
      <c r="Y180" s="58">
        <f ca="1">('TUSD BE'!$AM$10+'TUSD BF'!$AM$10+'TUSD CVA'!$AM$10)*1*(1-0.02)</f>
        <v>36.967413069659798</v>
      </c>
      <c r="Z180" s="58"/>
      <c r="AA180" s="58"/>
      <c r="AB180" s="4">
        <f>$K$180*$V$180</f>
        <v>4965.119999999999</v>
      </c>
      <c r="AC180" s="4">
        <f>$M$180*$W$180</f>
        <v>0</v>
      </c>
      <c r="AD180" s="4">
        <f>$O$180*$X$180</f>
        <v>0</v>
      </c>
      <c r="AE180" s="4">
        <f ca="1">$K$180*$Y$180</f>
        <v>5545.1119604489695</v>
      </c>
      <c r="AF180" s="4">
        <f>$M$180*$Z$180</f>
        <v>0</v>
      </c>
      <c r="AG180" s="4">
        <f>$O$180*$AA$180</f>
        <v>0</v>
      </c>
    </row>
    <row r="181" spans="1:33" ht="11.25" customHeight="1" x14ac:dyDescent="0.25">
      <c r="A181" s="3" t="s">
        <v>21</v>
      </c>
      <c r="B181" s="3" t="s">
        <v>35</v>
      </c>
      <c r="C181" s="3" t="s">
        <v>39</v>
      </c>
      <c r="D181" s="3" t="s">
        <v>44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44562</v>
      </c>
      <c r="J181" s="4">
        <v>167</v>
      </c>
      <c r="K181" s="58">
        <v>167</v>
      </c>
      <c r="L181" s="4">
        <v>0</v>
      </c>
      <c r="M181" s="58">
        <v>0</v>
      </c>
      <c r="N181" s="4">
        <v>0</v>
      </c>
      <c r="O181" s="58">
        <v>0</v>
      </c>
      <c r="P181" s="4">
        <v>1</v>
      </c>
      <c r="Q181" s="3" t="s">
        <v>26</v>
      </c>
      <c r="R181" s="3">
        <v>0</v>
      </c>
      <c r="S181" s="4">
        <v>46</v>
      </c>
      <c r="T181" s="4">
        <v>0</v>
      </c>
      <c r="U181" s="4">
        <v>0</v>
      </c>
      <c r="V181" s="58">
        <f>IF(ISERROR(VLOOKUP($S$181,'TAR FIN'!$A$1:$O$88,15,0)),0,VLOOKUP($S$181,'TAR FIN'!$A$1:$O$88,15,0))*(1-0.04)</f>
        <v>33.100799999999992</v>
      </c>
      <c r="W181" s="58">
        <f>IF(ISERROR(VLOOKUP($T$181,'TAR FIN'!$A$1:$O$88,15,0)),0,VLOOKUP($T$181,'TAR FIN'!$A$1:$O$88,15,0))</f>
        <v>0</v>
      </c>
      <c r="X181" s="58">
        <f>IF(ISERROR(VLOOKUP($U$181,'TAR FIN'!$A$1:$O$88,15,0)),0,VLOOKUP($U$181,'TAR FIN'!$A$1:$O$88,15,0))</f>
        <v>0</v>
      </c>
      <c r="Y181" s="58">
        <f ca="1">('TUSD BE'!$AM$10+'TUSD BF'!$AM$10+'TUSD CVA'!$AM$10)*1*(1-0.02)</f>
        <v>36.967413069659798</v>
      </c>
      <c r="Z181" s="58"/>
      <c r="AA181" s="58"/>
      <c r="AB181" s="4">
        <f>$K$181*$V$181</f>
        <v>5527.833599999999</v>
      </c>
      <c r="AC181" s="4">
        <f>$M$181*$W$181</f>
        <v>0</v>
      </c>
      <c r="AD181" s="4">
        <f>$O$181*$X$181</f>
        <v>0</v>
      </c>
      <c r="AE181" s="4">
        <f ca="1">$K$181*$Y$181</f>
        <v>6173.5579826331859</v>
      </c>
      <c r="AF181" s="4">
        <f>$M$181*$Z$181</f>
        <v>0</v>
      </c>
      <c r="AG181" s="4">
        <f>$O$181*$AA$181</f>
        <v>0</v>
      </c>
    </row>
    <row r="182" spans="1:33" ht="11.25" customHeight="1" x14ac:dyDescent="0.25">
      <c r="A182" s="3" t="s">
        <v>21</v>
      </c>
      <c r="B182" s="3" t="s">
        <v>35</v>
      </c>
      <c r="C182" s="3" t="s">
        <v>39</v>
      </c>
      <c r="D182" s="3" t="s">
        <v>44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44593</v>
      </c>
      <c r="J182" s="4">
        <v>163</v>
      </c>
      <c r="K182" s="58">
        <v>163</v>
      </c>
      <c r="L182" s="4">
        <v>0</v>
      </c>
      <c r="M182" s="58">
        <v>0</v>
      </c>
      <c r="N182" s="4">
        <v>0</v>
      </c>
      <c r="O182" s="58">
        <v>0</v>
      </c>
      <c r="P182" s="4">
        <v>1</v>
      </c>
      <c r="Q182" s="3" t="s">
        <v>26</v>
      </c>
      <c r="R182" s="3">
        <v>0</v>
      </c>
      <c r="S182" s="4">
        <v>46</v>
      </c>
      <c r="T182" s="4">
        <v>0</v>
      </c>
      <c r="U182" s="4">
        <v>0</v>
      </c>
      <c r="V182" s="58">
        <f>IF(ISERROR(VLOOKUP($S$182,'TAR FIN'!$A$1:$O$88,15,0)),0,VLOOKUP($S$182,'TAR FIN'!$A$1:$O$88,15,0))*(1-0.04)</f>
        <v>33.100799999999992</v>
      </c>
      <c r="W182" s="58">
        <f>IF(ISERROR(VLOOKUP($T$182,'TAR FIN'!$A$1:$O$88,15,0)),0,VLOOKUP($T$182,'TAR FIN'!$A$1:$O$88,15,0))</f>
        <v>0</v>
      </c>
      <c r="X182" s="58">
        <f>IF(ISERROR(VLOOKUP($U$182,'TAR FIN'!$A$1:$O$88,15,0)),0,VLOOKUP($U$182,'TAR FIN'!$A$1:$O$88,15,0))</f>
        <v>0</v>
      </c>
      <c r="Y182" s="58">
        <f ca="1">('TUSD BE'!$AM$10+'TUSD BF'!$AM$10+'TUSD CVA'!$AM$10)*1*(1-0.02)</f>
        <v>36.967413069659798</v>
      </c>
      <c r="Z182" s="58"/>
      <c r="AA182" s="58"/>
      <c r="AB182" s="4">
        <f>$K$182*$V$182</f>
        <v>5395.4303999999984</v>
      </c>
      <c r="AC182" s="4">
        <f>$M$182*$W$182</f>
        <v>0</v>
      </c>
      <c r="AD182" s="4">
        <f>$O$182*$X$182</f>
        <v>0</v>
      </c>
      <c r="AE182" s="4">
        <f ca="1">$K$182*$Y$182</f>
        <v>6025.6883303545474</v>
      </c>
      <c r="AF182" s="4">
        <f>$M$182*$Z$182</f>
        <v>0</v>
      </c>
      <c r="AG182" s="4">
        <f>$O$182*$AA$182</f>
        <v>0</v>
      </c>
    </row>
    <row r="183" spans="1:33" ht="11.25" customHeight="1" x14ac:dyDescent="0.25">
      <c r="A183" s="3" t="s">
        <v>21</v>
      </c>
      <c r="B183" s="3" t="s">
        <v>35</v>
      </c>
      <c r="C183" s="3" t="s">
        <v>39</v>
      </c>
      <c r="D183" s="3" t="s">
        <v>44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44621</v>
      </c>
      <c r="J183" s="4">
        <v>151</v>
      </c>
      <c r="K183" s="58">
        <v>151</v>
      </c>
      <c r="L183" s="4">
        <v>0</v>
      </c>
      <c r="M183" s="58">
        <v>0</v>
      </c>
      <c r="N183" s="4">
        <v>0</v>
      </c>
      <c r="O183" s="58">
        <v>0</v>
      </c>
      <c r="P183" s="4">
        <v>1</v>
      </c>
      <c r="Q183" s="3" t="s">
        <v>26</v>
      </c>
      <c r="R183" s="3">
        <v>0</v>
      </c>
      <c r="S183" s="4">
        <v>46</v>
      </c>
      <c r="T183" s="4">
        <v>0</v>
      </c>
      <c r="U183" s="4">
        <v>0</v>
      </c>
      <c r="V183" s="58">
        <f>IF(ISERROR(VLOOKUP($S$183,'TAR FIN'!$A$1:$O$88,15,0)),0,VLOOKUP($S$183,'TAR FIN'!$A$1:$O$88,15,0))*(1-0.04)</f>
        <v>33.100799999999992</v>
      </c>
      <c r="W183" s="58">
        <f>IF(ISERROR(VLOOKUP($T$183,'TAR FIN'!$A$1:$O$88,15,0)),0,VLOOKUP($T$183,'TAR FIN'!$A$1:$O$88,15,0))</f>
        <v>0</v>
      </c>
      <c r="X183" s="58">
        <f>IF(ISERROR(VLOOKUP($U$183,'TAR FIN'!$A$1:$O$88,15,0)),0,VLOOKUP($U$183,'TAR FIN'!$A$1:$O$88,15,0))</f>
        <v>0</v>
      </c>
      <c r="Y183" s="58">
        <f ca="1">('TUSD BE'!$AM$10+'TUSD BF'!$AM$10+'TUSD CVA'!$AM$10)*1*(1-0.02)</f>
        <v>36.967413069659798</v>
      </c>
      <c r="Z183" s="58"/>
      <c r="AA183" s="58"/>
      <c r="AB183" s="4">
        <f>$K$183*$V$183</f>
        <v>4998.2207999999991</v>
      </c>
      <c r="AC183" s="4">
        <f>$M$183*$W$183</f>
        <v>0</v>
      </c>
      <c r="AD183" s="4">
        <f>$O$183*$X$183</f>
        <v>0</v>
      </c>
      <c r="AE183" s="4">
        <f ca="1">$K$183*$Y$183</f>
        <v>5582.0793735186298</v>
      </c>
      <c r="AF183" s="4">
        <f>$M$183*$Z$183</f>
        <v>0</v>
      </c>
      <c r="AG183" s="4">
        <f>$O$183*$AA$183</f>
        <v>0</v>
      </c>
    </row>
    <row r="184" spans="1:33" ht="11.25" customHeight="1" x14ac:dyDescent="0.25">
      <c r="A184" s="3" t="s">
        <v>21</v>
      </c>
      <c r="B184" s="3" t="s">
        <v>35</v>
      </c>
      <c r="C184" s="3" t="s">
        <v>39</v>
      </c>
      <c r="D184" s="3" t="s">
        <v>44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44652</v>
      </c>
      <c r="J184" s="4">
        <v>151</v>
      </c>
      <c r="K184" s="58">
        <v>151</v>
      </c>
      <c r="L184" s="4">
        <v>0</v>
      </c>
      <c r="M184" s="58">
        <v>0</v>
      </c>
      <c r="N184" s="4">
        <v>0</v>
      </c>
      <c r="O184" s="58">
        <v>0</v>
      </c>
      <c r="P184" s="4">
        <v>1</v>
      </c>
      <c r="Q184" s="3" t="s">
        <v>26</v>
      </c>
      <c r="R184" s="3">
        <v>0</v>
      </c>
      <c r="S184" s="4">
        <v>46</v>
      </c>
      <c r="T184" s="4">
        <v>0</v>
      </c>
      <c r="U184" s="4">
        <v>0</v>
      </c>
      <c r="V184" s="58">
        <f>IF(ISERROR(VLOOKUP($S$184,'TAR FIN'!$A$1:$O$88,15,0)),0,VLOOKUP($S$184,'TAR FIN'!$A$1:$O$88,15,0))*(1-0.04)</f>
        <v>33.100799999999992</v>
      </c>
      <c r="W184" s="58">
        <f>IF(ISERROR(VLOOKUP($T$184,'TAR FIN'!$A$1:$O$88,15,0)),0,VLOOKUP($T$184,'TAR FIN'!$A$1:$O$88,15,0))</f>
        <v>0</v>
      </c>
      <c r="X184" s="58">
        <f>IF(ISERROR(VLOOKUP($U$184,'TAR FIN'!$A$1:$O$88,15,0)),0,VLOOKUP($U$184,'TAR FIN'!$A$1:$O$88,15,0))</f>
        <v>0</v>
      </c>
      <c r="Y184" s="58">
        <f ca="1">('TUSD BE'!$AM$10+'TUSD BF'!$AM$10+'TUSD CVA'!$AM$10)*1*(1-0.02)</f>
        <v>36.967413069659798</v>
      </c>
      <c r="Z184" s="58"/>
      <c r="AA184" s="58"/>
      <c r="AB184" s="4">
        <f>$K$184*$V$184</f>
        <v>4998.2207999999991</v>
      </c>
      <c r="AC184" s="4">
        <f>$M$184*$W$184</f>
        <v>0</v>
      </c>
      <c r="AD184" s="4">
        <f>$O$184*$X$184</f>
        <v>0</v>
      </c>
      <c r="AE184" s="4">
        <f ca="1">$K$184*$Y$184</f>
        <v>5582.0793735186298</v>
      </c>
      <c r="AF184" s="4">
        <f>$M$184*$Z$184</f>
        <v>0</v>
      </c>
      <c r="AG184" s="4">
        <f>$O$184*$AA$184</f>
        <v>0</v>
      </c>
    </row>
    <row r="185" spans="1:33" ht="11.25" customHeight="1" x14ac:dyDescent="0.25">
      <c r="A185" s="3" t="s">
        <v>21</v>
      </c>
      <c r="B185" s="3" t="s">
        <v>35</v>
      </c>
      <c r="C185" s="3" t="s">
        <v>39</v>
      </c>
      <c r="D185" s="3" t="s">
        <v>44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44682</v>
      </c>
      <c r="J185" s="4">
        <v>170</v>
      </c>
      <c r="K185" s="58">
        <v>170</v>
      </c>
      <c r="L185" s="4">
        <v>0</v>
      </c>
      <c r="M185" s="58">
        <v>0</v>
      </c>
      <c r="N185" s="4">
        <v>0</v>
      </c>
      <c r="O185" s="58">
        <v>0</v>
      </c>
      <c r="P185" s="4">
        <v>1</v>
      </c>
      <c r="Q185" s="3" t="s">
        <v>26</v>
      </c>
      <c r="R185" s="3">
        <v>0</v>
      </c>
      <c r="S185" s="4">
        <v>46</v>
      </c>
      <c r="T185" s="4">
        <v>0</v>
      </c>
      <c r="U185" s="4">
        <v>0</v>
      </c>
      <c r="V185" s="58">
        <f>IF(ISERROR(VLOOKUP($S$185,'TAR FIN'!$A$1:$O$88,15,0)),0,VLOOKUP($S$185,'TAR FIN'!$A$1:$O$88,15,0))*(1-0.04)</f>
        <v>33.100799999999992</v>
      </c>
      <c r="W185" s="58">
        <f>IF(ISERROR(VLOOKUP($T$185,'TAR FIN'!$A$1:$O$88,15,0)),0,VLOOKUP($T$185,'TAR FIN'!$A$1:$O$88,15,0))</f>
        <v>0</v>
      </c>
      <c r="X185" s="58">
        <f>IF(ISERROR(VLOOKUP($U$185,'TAR FIN'!$A$1:$O$88,15,0)),0,VLOOKUP($U$185,'TAR FIN'!$A$1:$O$88,15,0))</f>
        <v>0</v>
      </c>
      <c r="Y185" s="58">
        <f ca="1">('TUSD BE'!$AM$10+'TUSD BF'!$AM$10+'TUSD CVA'!$AM$10)*1*(1-0.02)</f>
        <v>36.967413069659798</v>
      </c>
      <c r="Z185" s="58"/>
      <c r="AA185" s="58"/>
      <c r="AB185" s="4">
        <f>$K$185*$V$185</f>
        <v>5627.1359999999986</v>
      </c>
      <c r="AC185" s="4">
        <f>$M$185*$W$185</f>
        <v>0</v>
      </c>
      <c r="AD185" s="4">
        <f>$O$185*$X$185</f>
        <v>0</v>
      </c>
      <c r="AE185" s="4">
        <f ca="1">$K$185*$Y$185</f>
        <v>6284.460221842166</v>
      </c>
      <c r="AF185" s="4">
        <f>$M$185*$Z$185</f>
        <v>0</v>
      </c>
      <c r="AG185" s="4">
        <f>$O$185*$AA$185</f>
        <v>0</v>
      </c>
    </row>
    <row r="186" spans="1:33" ht="11.25" customHeight="1" x14ac:dyDescent="0.25">
      <c r="A186" s="3" t="s">
        <v>21</v>
      </c>
      <c r="B186" s="3" t="s">
        <v>35</v>
      </c>
      <c r="C186" s="3" t="s">
        <v>39</v>
      </c>
      <c r="D186" s="3" t="s">
        <v>44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44713</v>
      </c>
      <c r="J186" s="4">
        <v>170</v>
      </c>
      <c r="K186" s="58">
        <v>170</v>
      </c>
      <c r="L186" s="4">
        <v>0</v>
      </c>
      <c r="M186" s="58">
        <v>0</v>
      </c>
      <c r="N186" s="4">
        <v>0</v>
      </c>
      <c r="O186" s="58">
        <v>0</v>
      </c>
      <c r="P186" s="4">
        <v>1</v>
      </c>
      <c r="Q186" s="3" t="s">
        <v>26</v>
      </c>
      <c r="R186" s="3">
        <v>0</v>
      </c>
      <c r="S186" s="4">
        <v>46</v>
      </c>
      <c r="T186" s="4">
        <v>0</v>
      </c>
      <c r="U186" s="4">
        <v>0</v>
      </c>
      <c r="V186" s="58">
        <f>IF(ISERROR(VLOOKUP($S$186,'TAR FIN'!$A$1:$O$88,15,0)),0,VLOOKUP($S$186,'TAR FIN'!$A$1:$O$88,15,0))*(1-0.04)</f>
        <v>33.100799999999992</v>
      </c>
      <c r="W186" s="58">
        <f>IF(ISERROR(VLOOKUP($T$186,'TAR FIN'!$A$1:$O$88,15,0)),0,VLOOKUP($T$186,'TAR FIN'!$A$1:$O$88,15,0))</f>
        <v>0</v>
      </c>
      <c r="X186" s="58">
        <f>IF(ISERROR(VLOOKUP($U$186,'TAR FIN'!$A$1:$O$88,15,0)),0,VLOOKUP($U$186,'TAR FIN'!$A$1:$O$88,15,0))</f>
        <v>0</v>
      </c>
      <c r="Y186" s="58">
        <f ca="1">('TUSD BE'!$AM$10+'TUSD BF'!$AM$10+'TUSD CVA'!$AM$10)*1*(1-0.02)</f>
        <v>36.967413069659798</v>
      </c>
      <c r="Z186" s="58"/>
      <c r="AA186" s="58"/>
      <c r="AB186" s="4">
        <f>$K$186*$V$186</f>
        <v>5627.1359999999986</v>
      </c>
      <c r="AC186" s="4">
        <f>$M$186*$W$186</f>
        <v>0</v>
      </c>
      <c r="AD186" s="4">
        <f>$O$186*$X$186</f>
        <v>0</v>
      </c>
      <c r="AE186" s="4">
        <f ca="1">$K$186*$Y$186</f>
        <v>6284.460221842166</v>
      </c>
      <c r="AF186" s="4">
        <f>$M$186*$Z$186</f>
        <v>0</v>
      </c>
      <c r="AG186" s="4">
        <f>$O$186*$AA$186</f>
        <v>0</v>
      </c>
    </row>
    <row r="187" spans="1:33" ht="11.25" customHeight="1" x14ac:dyDescent="0.25">
      <c r="A187" s="3" t="s">
        <v>21</v>
      </c>
      <c r="B187" s="3" t="s">
        <v>35</v>
      </c>
      <c r="C187" s="3" t="s">
        <v>39</v>
      </c>
      <c r="D187" s="3" t="s">
        <v>44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44743</v>
      </c>
      <c r="J187" s="4">
        <v>170</v>
      </c>
      <c r="K187" s="58">
        <v>170</v>
      </c>
      <c r="L187" s="4">
        <v>0</v>
      </c>
      <c r="M187" s="58">
        <v>0</v>
      </c>
      <c r="N187" s="4">
        <v>0</v>
      </c>
      <c r="O187" s="58">
        <v>0</v>
      </c>
      <c r="P187" s="4">
        <v>1</v>
      </c>
      <c r="Q187" s="3" t="s">
        <v>26</v>
      </c>
      <c r="R187" s="3">
        <v>0</v>
      </c>
      <c r="S187" s="4">
        <v>46</v>
      </c>
      <c r="T187" s="4">
        <v>0</v>
      </c>
      <c r="U187" s="4">
        <v>0</v>
      </c>
      <c r="V187" s="58">
        <f>IF(ISERROR(VLOOKUP($S$187,'TAR FIN'!$A$1:$O$88,15,0)),0,VLOOKUP($S$187,'TAR FIN'!$A$1:$O$88,15,0))*(1-0.04)</f>
        <v>33.100799999999992</v>
      </c>
      <c r="W187" s="58">
        <f>IF(ISERROR(VLOOKUP($T$187,'TAR FIN'!$A$1:$O$88,15,0)),0,VLOOKUP($T$187,'TAR FIN'!$A$1:$O$88,15,0))</f>
        <v>0</v>
      </c>
      <c r="X187" s="58">
        <f>IF(ISERROR(VLOOKUP($U$187,'TAR FIN'!$A$1:$O$88,15,0)),0,VLOOKUP($U$187,'TAR FIN'!$A$1:$O$88,15,0))</f>
        <v>0</v>
      </c>
      <c r="Y187" s="58">
        <f ca="1">('TUSD BE'!$AM$10+'TUSD BF'!$AM$10+'TUSD CVA'!$AM$10)*1*(1-0.02)</f>
        <v>36.967413069659798</v>
      </c>
      <c r="Z187" s="58"/>
      <c r="AA187" s="58"/>
      <c r="AB187" s="4">
        <f>$K$187*$V$187</f>
        <v>5627.1359999999986</v>
      </c>
      <c r="AC187" s="4">
        <f>$M$187*$W$187</f>
        <v>0</v>
      </c>
      <c r="AD187" s="4">
        <f>$O$187*$X$187</f>
        <v>0</v>
      </c>
      <c r="AE187" s="4">
        <f ca="1">$K$187*$Y$187</f>
        <v>6284.460221842166</v>
      </c>
      <c r="AF187" s="4">
        <f>$M$187*$Z$187</f>
        <v>0</v>
      </c>
      <c r="AG187" s="4">
        <f>$O$187*$AA$187</f>
        <v>0</v>
      </c>
    </row>
    <row r="188" spans="1:33" ht="11.25" customHeight="1" x14ac:dyDescent="0.25">
      <c r="A188" s="3" t="s">
        <v>55</v>
      </c>
      <c r="B188" s="3" t="s">
        <v>35</v>
      </c>
      <c r="C188" s="3" t="s">
        <v>39</v>
      </c>
      <c r="D188" s="3" t="s">
        <v>44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44774</v>
      </c>
      <c r="J188" s="4">
        <v>170</v>
      </c>
      <c r="K188" s="58">
        <v>170</v>
      </c>
      <c r="L188" s="4">
        <v>0</v>
      </c>
      <c r="M188" s="58">
        <v>0</v>
      </c>
      <c r="N188" s="4">
        <v>0</v>
      </c>
      <c r="O188" s="58">
        <v>0</v>
      </c>
      <c r="P188" s="4">
        <v>1</v>
      </c>
      <c r="Q188" s="3" t="s">
        <v>26</v>
      </c>
      <c r="R188" s="3">
        <v>0</v>
      </c>
      <c r="S188" s="4">
        <v>46</v>
      </c>
      <c r="T188" s="4">
        <v>0</v>
      </c>
      <c r="U188" s="4">
        <v>0</v>
      </c>
      <c r="V188" s="58">
        <f>IF(ISERROR(VLOOKUP($S$188,'TAR FIN'!$A$1:$O$88,15,0)),0,VLOOKUP($S$188,'TAR FIN'!$A$1:$O$88,15,0))*(1-0.04)</f>
        <v>33.100799999999992</v>
      </c>
      <c r="W188" s="58">
        <f>IF(ISERROR(VLOOKUP($T$188,'TAR FIN'!$A$1:$O$88,15,0)),0,VLOOKUP($T$188,'TAR FIN'!$A$1:$O$88,15,0))</f>
        <v>0</v>
      </c>
      <c r="X188" s="58">
        <f>IF(ISERROR(VLOOKUP($U$188,'TAR FIN'!$A$1:$O$88,15,0)),0,VLOOKUP($U$188,'TAR FIN'!$A$1:$O$88,15,0))</f>
        <v>0</v>
      </c>
      <c r="Y188" s="58">
        <f ca="1">('TUSD BE'!$AM$10+'TUSD BF'!$AM$10+'TUSD CVA'!$AM$10)*1*(1-0.02)</f>
        <v>36.967413069659798</v>
      </c>
      <c r="Z188" s="58"/>
      <c r="AA188" s="58"/>
      <c r="AB188" s="4">
        <f>$K$188*$V$188</f>
        <v>5627.1359999999986</v>
      </c>
      <c r="AC188" s="4">
        <f>$M$188*$W$188</f>
        <v>0</v>
      </c>
      <c r="AD188" s="4">
        <f>$O$188*$X$188</f>
        <v>0</v>
      </c>
      <c r="AE188" s="4">
        <f ca="1">$K$188*$Y$188</f>
        <v>6284.460221842166</v>
      </c>
      <c r="AF188" s="4">
        <f>$M$188*$Z$188</f>
        <v>0</v>
      </c>
      <c r="AG188" s="4">
        <f>$O$188*$AA$188</f>
        <v>0</v>
      </c>
    </row>
    <row r="189" spans="1:33" ht="11.25" customHeight="1" x14ac:dyDescent="0.25">
      <c r="A189" s="3" t="s">
        <v>21</v>
      </c>
      <c r="B189" s="3" t="s">
        <v>35</v>
      </c>
      <c r="C189" s="3" t="s">
        <v>39</v>
      </c>
      <c r="D189" s="3" t="s">
        <v>44</v>
      </c>
      <c r="E189" s="3" t="s">
        <v>25</v>
      </c>
      <c r="F189" s="3" t="s">
        <v>25</v>
      </c>
      <c r="G189" s="3" t="s">
        <v>25</v>
      </c>
      <c r="H189" s="3" t="s">
        <v>37</v>
      </c>
      <c r="I189" s="6">
        <v>44440</v>
      </c>
      <c r="J189" s="4">
        <v>0</v>
      </c>
      <c r="K189" s="58">
        <v>0</v>
      </c>
      <c r="L189" s="4">
        <v>0.28299999999999997</v>
      </c>
      <c r="M189" s="58">
        <v>0.28299999999999997</v>
      </c>
      <c r="N189" s="4">
        <v>0.28299999999999997</v>
      </c>
      <c r="O189" s="58">
        <v>0.28299999999999997</v>
      </c>
      <c r="P189" s="4">
        <v>0</v>
      </c>
      <c r="Q189" s="3" t="s">
        <v>26</v>
      </c>
      <c r="R189" s="3">
        <v>0</v>
      </c>
      <c r="S189" s="4">
        <v>0</v>
      </c>
      <c r="T189" s="4">
        <v>35</v>
      </c>
      <c r="U189" s="4">
        <v>70</v>
      </c>
      <c r="V189" s="58">
        <f>IF(ISERROR(VLOOKUP($S$189,'TAR FIN'!$A$1:$O$88,15,0)),0,VLOOKUP($S$189,'TAR FIN'!$A$1:$O$88,15,0))</f>
        <v>0</v>
      </c>
      <c r="W189" s="58">
        <f>IF(ISERROR(VLOOKUP($T$189,'TAR FIN'!$A$1:$O$88,15,0)),0,VLOOKUP($T$189,'TAR FIN'!$A$1:$O$88,15,0))*(1-0.04)</f>
        <v>2569.1135999999997</v>
      </c>
      <c r="X189" s="58">
        <f>IF(ISERROR(VLOOKUP($U$189,'TAR FIN'!$A$1:$O$88,15,0)),0,VLOOKUP($U$189,'TAR FIN'!$A$1:$O$88,15,0))*(1-0.04)</f>
        <v>144.24959999999999</v>
      </c>
      <c r="Y189" s="58"/>
      <c r="Z189" s="58">
        <f ca="1">('TUSD BE'!$AM$11+'TUSD BF'!$AM$11+'TUSD CVA'!$AM$11)*1*(1-0.02)</f>
        <v>2574.1459307941409</v>
      </c>
      <c r="AA189" s="58">
        <f>('TE BE'!$AB$5+'TE BF'!$AB$5+'TE CVA'!$AB$5)*1*(1-0.02)</f>
        <v>133.89020396648343</v>
      </c>
      <c r="AB189" s="4">
        <f>$K$189*$V$189</f>
        <v>0</v>
      </c>
      <c r="AC189" s="4">
        <f>$M$189*$W$189</f>
        <v>727.05914879999989</v>
      </c>
      <c r="AD189" s="4">
        <f>$O$189*$X$189</f>
        <v>40.822636799999991</v>
      </c>
      <c r="AE189" s="4">
        <f>$K$189*$Y$189</f>
        <v>0</v>
      </c>
      <c r="AF189" s="4">
        <f ca="1">$M$189*$Z$189</f>
        <v>728.48329841474185</v>
      </c>
      <c r="AG189" s="4">
        <f>$O$189*$AA$189</f>
        <v>37.890927722514803</v>
      </c>
    </row>
    <row r="190" spans="1:33" ht="11.25" customHeight="1" x14ac:dyDescent="0.25">
      <c r="A190" s="3" t="s">
        <v>21</v>
      </c>
      <c r="B190" s="3" t="s">
        <v>35</v>
      </c>
      <c r="C190" s="3" t="s">
        <v>39</v>
      </c>
      <c r="D190" s="3" t="s">
        <v>44</v>
      </c>
      <c r="E190" s="3" t="s">
        <v>25</v>
      </c>
      <c r="F190" s="3" t="s">
        <v>25</v>
      </c>
      <c r="G190" s="3" t="s">
        <v>25</v>
      </c>
      <c r="H190" s="3" t="s">
        <v>37</v>
      </c>
      <c r="I190" s="6">
        <v>44470</v>
      </c>
      <c r="J190" s="4">
        <v>0</v>
      </c>
      <c r="K190" s="58">
        <v>0</v>
      </c>
      <c r="L190" s="4">
        <v>0.79800000000000004</v>
      </c>
      <c r="M190" s="58">
        <v>0.79800000000000004</v>
      </c>
      <c r="N190" s="4">
        <v>0.79800000000000004</v>
      </c>
      <c r="O190" s="58">
        <v>0.79800000000000004</v>
      </c>
      <c r="P190" s="4">
        <v>0</v>
      </c>
      <c r="Q190" s="3" t="s">
        <v>26</v>
      </c>
      <c r="R190" s="3">
        <v>0</v>
      </c>
      <c r="S190" s="4">
        <v>0</v>
      </c>
      <c r="T190" s="4">
        <v>35</v>
      </c>
      <c r="U190" s="4">
        <v>70</v>
      </c>
      <c r="V190" s="58">
        <f>IF(ISERROR(VLOOKUP($S$190,'TAR FIN'!$A$1:$O$88,15,0)),0,VLOOKUP($S$190,'TAR FIN'!$A$1:$O$88,15,0))</f>
        <v>0</v>
      </c>
      <c r="W190" s="58">
        <f>IF(ISERROR(VLOOKUP($T$190,'TAR FIN'!$A$1:$O$88,15,0)),0,VLOOKUP($T$190,'TAR FIN'!$A$1:$O$88,15,0))*(1-0.04)</f>
        <v>2569.1135999999997</v>
      </c>
      <c r="X190" s="58">
        <f>IF(ISERROR(VLOOKUP($U$190,'TAR FIN'!$A$1:$O$88,15,0)),0,VLOOKUP($U$190,'TAR FIN'!$A$1:$O$88,15,0))*(1-0.04)</f>
        <v>144.24959999999999</v>
      </c>
      <c r="Y190" s="58"/>
      <c r="Z190" s="58">
        <f ca="1">('TUSD BE'!$AM$11+'TUSD BF'!$AM$11+'TUSD CVA'!$AM$11)*1*(1-0.02)</f>
        <v>2574.1459307941409</v>
      </c>
      <c r="AA190" s="58">
        <f>('TE BE'!$AB$5+'TE BF'!$AB$5+'TE CVA'!$AB$5)*1*(1-0.02)</f>
        <v>133.89020396648343</v>
      </c>
      <c r="AB190" s="4">
        <f>$K$190*$V$190</f>
        <v>0</v>
      </c>
      <c r="AC190" s="4">
        <f>$M$190*$W$190</f>
        <v>2050.1526527999999</v>
      </c>
      <c r="AD190" s="4">
        <f>$O$190*$X$190</f>
        <v>115.1111808</v>
      </c>
      <c r="AE190" s="4">
        <f>$K$190*$Y$190</f>
        <v>0</v>
      </c>
      <c r="AF190" s="4">
        <f ca="1">$M$190*$Z$190</f>
        <v>2054.1684527737248</v>
      </c>
      <c r="AG190" s="4">
        <f>$O$190*$AA$190</f>
        <v>106.84438276525378</v>
      </c>
    </row>
    <row r="191" spans="1:33" ht="11.25" customHeight="1" x14ac:dyDescent="0.25">
      <c r="A191" s="3" t="s">
        <v>21</v>
      </c>
      <c r="B191" s="3" t="s">
        <v>35</v>
      </c>
      <c r="C191" s="3" t="s">
        <v>39</v>
      </c>
      <c r="D191" s="3" t="s">
        <v>44</v>
      </c>
      <c r="E191" s="3" t="s">
        <v>25</v>
      </c>
      <c r="F191" s="3" t="s">
        <v>25</v>
      </c>
      <c r="G191" s="3" t="s">
        <v>25</v>
      </c>
      <c r="H191" s="3" t="s">
        <v>37</v>
      </c>
      <c r="I191" s="6">
        <v>44501</v>
      </c>
      <c r="J191" s="4">
        <v>0</v>
      </c>
      <c r="K191" s="58">
        <v>0</v>
      </c>
      <c r="L191" s="4">
        <v>0.65900000000000003</v>
      </c>
      <c r="M191" s="58">
        <v>0.65900000000000003</v>
      </c>
      <c r="N191" s="4">
        <v>0.65900000000000003</v>
      </c>
      <c r="O191" s="58">
        <v>0.65900000000000003</v>
      </c>
      <c r="P191" s="4">
        <v>0</v>
      </c>
      <c r="Q191" s="3" t="s">
        <v>26</v>
      </c>
      <c r="R191" s="3">
        <v>0</v>
      </c>
      <c r="S191" s="4">
        <v>0</v>
      </c>
      <c r="T191" s="4">
        <v>35</v>
      </c>
      <c r="U191" s="4">
        <v>70</v>
      </c>
      <c r="V191" s="58">
        <f>IF(ISERROR(VLOOKUP($S$191,'TAR FIN'!$A$1:$O$88,15,0)),0,VLOOKUP($S$191,'TAR FIN'!$A$1:$O$88,15,0))</f>
        <v>0</v>
      </c>
      <c r="W191" s="58">
        <f>IF(ISERROR(VLOOKUP($T$191,'TAR FIN'!$A$1:$O$88,15,0)),0,VLOOKUP($T$191,'TAR FIN'!$A$1:$O$88,15,0))*(1-0.04)</f>
        <v>2569.1135999999997</v>
      </c>
      <c r="X191" s="58">
        <f>IF(ISERROR(VLOOKUP($U$191,'TAR FIN'!$A$1:$O$88,15,0)),0,VLOOKUP($U$191,'TAR FIN'!$A$1:$O$88,15,0))*(1-0.04)</f>
        <v>144.24959999999999</v>
      </c>
      <c r="Y191" s="58"/>
      <c r="Z191" s="58">
        <f ca="1">('TUSD BE'!$AM$11+'TUSD BF'!$AM$11+'TUSD CVA'!$AM$11)*1*(1-0.02)</f>
        <v>2574.1459307941409</v>
      </c>
      <c r="AA191" s="58">
        <f>('TE BE'!$AB$5+'TE BF'!$AB$5+'TE CVA'!$AB$5)*1*(1-0.02)</f>
        <v>133.89020396648343</v>
      </c>
      <c r="AB191" s="4">
        <f>$K$191*$V$191</f>
        <v>0</v>
      </c>
      <c r="AC191" s="4">
        <f>$M$191*$W$191</f>
        <v>1693.0458623999998</v>
      </c>
      <c r="AD191" s="4">
        <f>$O$191*$X$191</f>
        <v>95.060486400000002</v>
      </c>
      <c r="AE191" s="4">
        <f>$K$191*$Y$191</f>
        <v>0</v>
      </c>
      <c r="AF191" s="4">
        <f ca="1">$M$191*$Z$191</f>
        <v>1696.3621683933388</v>
      </c>
      <c r="AG191" s="4">
        <f>$O$191*$AA$191</f>
        <v>88.233644413912586</v>
      </c>
    </row>
    <row r="192" spans="1:33" ht="11.25" customHeight="1" x14ac:dyDescent="0.25">
      <c r="A192" s="3" t="s">
        <v>21</v>
      </c>
      <c r="B192" s="3" t="s">
        <v>35</v>
      </c>
      <c r="C192" s="3" t="s">
        <v>39</v>
      </c>
      <c r="D192" s="3" t="s">
        <v>44</v>
      </c>
      <c r="E192" s="3" t="s">
        <v>25</v>
      </c>
      <c r="F192" s="3" t="s">
        <v>25</v>
      </c>
      <c r="G192" s="3" t="s">
        <v>25</v>
      </c>
      <c r="H192" s="3" t="s">
        <v>37</v>
      </c>
      <c r="I192" s="6">
        <v>44531</v>
      </c>
      <c r="J192" s="4">
        <v>0</v>
      </c>
      <c r="K192" s="58">
        <v>0</v>
      </c>
      <c r="L192" s="4">
        <v>1.33</v>
      </c>
      <c r="M192" s="58">
        <v>1.33</v>
      </c>
      <c r="N192" s="4">
        <v>1.33</v>
      </c>
      <c r="O192" s="58">
        <v>1.33</v>
      </c>
      <c r="P192" s="4">
        <v>0</v>
      </c>
      <c r="Q192" s="3" t="s">
        <v>26</v>
      </c>
      <c r="R192" s="3">
        <v>0</v>
      </c>
      <c r="S192" s="4">
        <v>0</v>
      </c>
      <c r="T192" s="4">
        <v>35</v>
      </c>
      <c r="U192" s="4">
        <v>70</v>
      </c>
      <c r="V192" s="58">
        <f>IF(ISERROR(VLOOKUP($S$192,'TAR FIN'!$A$1:$O$88,15,0)),0,VLOOKUP($S$192,'TAR FIN'!$A$1:$O$88,15,0))</f>
        <v>0</v>
      </c>
      <c r="W192" s="58">
        <f>IF(ISERROR(VLOOKUP($T$192,'TAR FIN'!$A$1:$O$88,15,0)),0,VLOOKUP($T$192,'TAR FIN'!$A$1:$O$88,15,0))*(1-0.04)</f>
        <v>2569.1135999999997</v>
      </c>
      <c r="X192" s="58">
        <f>IF(ISERROR(VLOOKUP($U$192,'TAR FIN'!$A$1:$O$88,15,0)),0,VLOOKUP($U$192,'TAR FIN'!$A$1:$O$88,15,0))*(1-0.04)</f>
        <v>144.24959999999999</v>
      </c>
      <c r="Y192" s="58"/>
      <c r="Z192" s="58">
        <f ca="1">('TUSD BE'!$AM$11+'TUSD BF'!$AM$11+'TUSD CVA'!$AM$11)*1*(1-0.02)</f>
        <v>2574.1459307941409</v>
      </c>
      <c r="AA192" s="58">
        <f>('TE BE'!$AB$5+'TE BF'!$AB$5+'TE CVA'!$AB$5)*1*(1-0.02)</f>
        <v>133.89020396648343</v>
      </c>
      <c r="AB192" s="4">
        <f>$K$192*$V$192</f>
        <v>0</v>
      </c>
      <c r="AC192" s="4">
        <f>$M$192*$W$192</f>
        <v>3416.9210879999996</v>
      </c>
      <c r="AD192" s="4">
        <f>$O$192*$X$192</f>
        <v>191.851968</v>
      </c>
      <c r="AE192" s="4">
        <f>$K$192*$Y$192</f>
        <v>0</v>
      </c>
      <c r="AF192" s="4">
        <f ca="1">$M$192*$Z$192</f>
        <v>3423.6140879562076</v>
      </c>
      <c r="AG192" s="4">
        <f>$O$192*$AA$192</f>
        <v>178.07397127542296</v>
      </c>
    </row>
    <row r="193" spans="1:33" ht="11.25" customHeight="1" x14ac:dyDescent="0.25">
      <c r="A193" s="3" t="s">
        <v>21</v>
      </c>
      <c r="B193" s="3" t="s">
        <v>35</v>
      </c>
      <c r="C193" s="3" t="s">
        <v>39</v>
      </c>
      <c r="D193" s="3" t="s">
        <v>44</v>
      </c>
      <c r="E193" s="3" t="s">
        <v>25</v>
      </c>
      <c r="F193" s="3" t="s">
        <v>25</v>
      </c>
      <c r="G193" s="3" t="s">
        <v>25</v>
      </c>
      <c r="H193" s="3" t="s">
        <v>37</v>
      </c>
      <c r="I193" s="6">
        <v>44562</v>
      </c>
      <c r="J193" s="4">
        <v>0</v>
      </c>
      <c r="K193" s="58">
        <v>0</v>
      </c>
      <c r="L193" s="4">
        <v>1.4119999999999999</v>
      </c>
      <c r="M193" s="58">
        <v>1.4119999999999999</v>
      </c>
      <c r="N193" s="4">
        <v>1.4119999999999999</v>
      </c>
      <c r="O193" s="58">
        <v>1.4119999999999999</v>
      </c>
      <c r="P193" s="4">
        <v>0</v>
      </c>
      <c r="Q193" s="3" t="s">
        <v>26</v>
      </c>
      <c r="R193" s="3">
        <v>0</v>
      </c>
      <c r="S193" s="4">
        <v>0</v>
      </c>
      <c r="T193" s="4">
        <v>35</v>
      </c>
      <c r="U193" s="4">
        <v>70</v>
      </c>
      <c r="V193" s="58">
        <f>IF(ISERROR(VLOOKUP($S$193,'TAR FIN'!$A$1:$O$88,15,0)),0,VLOOKUP($S$193,'TAR FIN'!$A$1:$O$88,15,0))</f>
        <v>0</v>
      </c>
      <c r="W193" s="58">
        <f>IF(ISERROR(VLOOKUP($T$193,'TAR FIN'!$A$1:$O$88,15,0)),0,VLOOKUP($T$193,'TAR FIN'!$A$1:$O$88,15,0))*(1-0.04)</f>
        <v>2569.1135999999997</v>
      </c>
      <c r="X193" s="58">
        <f>IF(ISERROR(VLOOKUP($U$193,'TAR FIN'!$A$1:$O$88,15,0)),0,VLOOKUP($U$193,'TAR FIN'!$A$1:$O$88,15,0))*(1-0.04)</f>
        <v>144.24959999999999</v>
      </c>
      <c r="Y193" s="58"/>
      <c r="Z193" s="58">
        <f ca="1">('TUSD BE'!$AM$11+'TUSD BF'!$AM$11+'TUSD CVA'!$AM$11)*1*(1-0.02)</f>
        <v>2574.1459307941409</v>
      </c>
      <c r="AA193" s="58">
        <f>('TE BE'!$AB$5+'TE BF'!$AB$5+'TE CVA'!$AB$5)*1*(1-0.02)</f>
        <v>133.89020396648343</v>
      </c>
      <c r="AB193" s="4">
        <f>$K$193*$V$193</f>
        <v>0</v>
      </c>
      <c r="AC193" s="4">
        <f>$M$193*$W$193</f>
        <v>3627.5884031999994</v>
      </c>
      <c r="AD193" s="4">
        <f>$O$193*$X$193</f>
        <v>203.68043519999998</v>
      </c>
      <c r="AE193" s="4">
        <f>$K$193*$Y$193</f>
        <v>0</v>
      </c>
      <c r="AF193" s="4">
        <f ca="1">$M$193*$Z$193</f>
        <v>3634.6940542813268</v>
      </c>
      <c r="AG193" s="4">
        <f>$O$193*$AA$193</f>
        <v>189.05296800067458</v>
      </c>
    </row>
    <row r="194" spans="1:33" ht="11.25" customHeight="1" x14ac:dyDescent="0.25">
      <c r="A194" s="3" t="s">
        <v>21</v>
      </c>
      <c r="B194" s="3" t="s">
        <v>35</v>
      </c>
      <c r="C194" s="3" t="s">
        <v>39</v>
      </c>
      <c r="D194" s="3" t="s">
        <v>44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44593</v>
      </c>
      <c r="J194" s="4">
        <v>0</v>
      </c>
      <c r="K194" s="58">
        <v>0</v>
      </c>
      <c r="L194" s="4">
        <v>0.27</v>
      </c>
      <c r="M194" s="58">
        <v>0.27</v>
      </c>
      <c r="N194" s="4">
        <v>0.27</v>
      </c>
      <c r="O194" s="58">
        <v>0.27</v>
      </c>
      <c r="P194" s="4">
        <v>0</v>
      </c>
      <c r="Q194" s="3" t="s">
        <v>26</v>
      </c>
      <c r="R194" s="3">
        <v>0</v>
      </c>
      <c r="S194" s="4">
        <v>0</v>
      </c>
      <c r="T194" s="4">
        <v>35</v>
      </c>
      <c r="U194" s="4">
        <v>70</v>
      </c>
      <c r="V194" s="58">
        <f>IF(ISERROR(VLOOKUP($S$194,'TAR FIN'!$A$1:$O$88,15,0)),0,VLOOKUP($S$194,'TAR FIN'!$A$1:$O$88,15,0))</f>
        <v>0</v>
      </c>
      <c r="W194" s="58">
        <f>IF(ISERROR(VLOOKUP($T$194,'TAR FIN'!$A$1:$O$88,15,0)),0,VLOOKUP($T$194,'TAR FIN'!$A$1:$O$88,15,0))*(1-0.04)</f>
        <v>2569.1135999999997</v>
      </c>
      <c r="X194" s="58">
        <f>IF(ISERROR(VLOOKUP($U$194,'TAR FIN'!$A$1:$O$88,15,0)),0,VLOOKUP($U$194,'TAR FIN'!$A$1:$O$88,15,0))*(1-0.04)</f>
        <v>144.24959999999999</v>
      </c>
      <c r="Y194" s="58"/>
      <c r="Z194" s="58">
        <f ca="1">('TUSD BE'!$AM$11+'TUSD BF'!$AM$11+'TUSD CVA'!$AM$11)*1*(1-0.02)</f>
        <v>2574.1459307941409</v>
      </c>
      <c r="AA194" s="58">
        <f>('TE BE'!$AB$5+'TE BF'!$AB$5+'TE CVA'!$AB$5)*1*(1-0.02)</f>
        <v>133.89020396648343</v>
      </c>
      <c r="AB194" s="4">
        <f>$K$194*$V$194</f>
        <v>0</v>
      </c>
      <c r="AC194" s="4">
        <f>$M$194*$W$194</f>
        <v>693.66067199999998</v>
      </c>
      <c r="AD194" s="4">
        <f>$O$194*$X$194</f>
        <v>38.947392000000001</v>
      </c>
      <c r="AE194" s="4">
        <f>$K$194*$Y$194</f>
        <v>0</v>
      </c>
      <c r="AF194" s="4">
        <f ca="1">$M$194*$Z$194</f>
        <v>695.01940131441813</v>
      </c>
      <c r="AG194" s="4">
        <f>$O$194*$AA$194</f>
        <v>36.150355070950525</v>
      </c>
    </row>
    <row r="195" spans="1:33" ht="11.25" customHeight="1" x14ac:dyDescent="0.25">
      <c r="A195" s="3" t="s">
        <v>21</v>
      </c>
      <c r="B195" s="3" t="s">
        <v>35</v>
      </c>
      <c r="C195" s="3" t="s">
        <v>39</v>
      </c>
      <c r="D195" s="3" t="s">
        <v>44</v>
      </c>
      <c r="E195" s="3" t="s">
        <v>25</v>
      </c>
      <c r="F195" s="3" t="s">
        <v>25</v>
      </c>
      <c r="G195" s="3" t="s">
        <v>25</v>
      </c>
      <c r="H195" s="3" t="s">
        <v>37</v>
      </c>
      <c r="I195" s="6">
        <v>44743</v>
      </c>
      <c r="J195" s="4">
        <v>0</v>
      </c>
      <c r="K195" s="58">
        <v>0</v>
      </c>
      <c r="L195" s="4">
        <v>7.0000000000000001E-3</v>
      </c>
      <c r="M195" s="58">
        <v>7.0000000000000001E-3</v>
      </c>
      <c r="N195" s="4">
        <v>7.0000000000000001E-3</v>
      </c>
      <c r="O195" s="58">
        <v>7.0000000000000001E-3</v>
      </c>
      <c r="P195" s="4">
        <v>0</v>
      </c>
      <c r="Q195" s="3" t="s">
        <v>26</v>
      </c>
      <c r="R195" s="3">
        <v>0</v>
      </c>
      <c r="S195" s="4">
        <v>0</v>
      </c>
      <c r="T195" s="4">
        <v>35</v>
      </c>
      <c r="U195" s="4">
        <v>70</v>
      </c>
      <c r="V195" s="58">
        <f>IF(ISERROR(VLOOKUP($S$195,'TAR FIN'!$A$1:$O$88,15,0)),0,VLOOKUP($S$195,'TAR FIN'!$A$1:$O$88,15,0))</f>
        <v>0</v>
      </c>
      <c r="W195" s="58">
        <f>IF(ISERROR(VLOOKUP($T$195,'TAR FIN'!$A$1:$O$88,15,0)),0,VLOOKUP($T$195,'TAR FIN'!$A$1:$O$88,15,0))*(1-0.04)</f>
        <v>2569.1135999999997</v>
      </c>
      <c r="X195" s="58">
        <f>IF(ISERROR(VLOOKUP($U$195,'TAR FIN'!$A$1:$O$88,15,0)),0,VLOOKUP($U$195,'TAR FIN'!$A$1:$O$88,15,0))*(1-0.04)</f>
        <v>144.24959999999999</v>
      </c>
      <c r="Y195" s="58"/>
      <c r="Z195" s="58">
        <f ca="1">('TUSD BE'!$AM$11+'TUSD BF'!$AM$11+'TUSD CVA'!$AM$11)*1*(1-0.02)</f>
        <v>2574.1459307941409</v>
      </c>
      <c r="AA195" s="58">
        <f>('TE BE'!$AB$5+'TE BF'!$AB$5+'TE CVA'!$AB$5)*1*(1-0.02)</f>
        <v>133.89020396648343</v>
      </c>
      <c r="AB195" s="4">
        <f>$K$195*$V$195</f>
        <v>0</v>
      </c>
      <c r="AC195" s="4">
        <f>$M$195*$W$195</f>
        <v>17.983795199999999</v>
      </c>
      <c r="AD195" s="4">
        <f>$O$195*$X$195</f>
        <v>1.0097471999999998</v>
      </c>
      <c r="AE195" s="4">
        <f>$K$195*$Y$195</f>
        <v>0</v>
      </c>
      <c r="AF195" s="4">
        <f ca="1">$M$195*$Z$195</f>
        <v>18.019021515558986</v>
      </c>
      <c r="AG195" s="4">
        <f>$O$195*$AA$195</f>
        <v>0.93723142776538404</v>
      </c>
    </row>
    <row r="196" spans="1:33" ht="11.25" customHeight="1" x14ac:dyDescent="0.25">
      <c r="A196" s="3" t="s">
        <v>55</v>
      </c>
      <c r="B196" s="3" t="s">
        <v>35</v>
      </c>
      <c r="C196" s="3" t="s">
        <v>39</v>
      </c>
      <c r="D196" s="3" t="s">
        <v>44</v>
      </c>
      <c r="E196" s="3" t="s">
        <v>25</v>
      </c>
      <c r="F196" s="3" t="s">
        <v>25</v>
      </c>
      <c r="G196" s="3" t="s">
        <v>25</v>
      </c>
      <c r="H196" s="3" t="s">
        <v>37</v>
      </c>
      <c r="I196" s="6">
        <v>44774</v>
      </c>
      <c r="J196" s="4">
        <v>0</v>
      </c>
      <c r="K196" s="58">
        <v>0</v>
      </c>
      <c r="L196" s="4">
        <v>7.0000000000000001E-3</v>
      </c>
      <c r="M196" s="58">
        <v>7.0000000000000001E-3</v>
      </c>
      <c r="N196" s="4">
        <v>7.0000000000000001E-3</v>
      </c>
      <c r="O196" s="58">
        <v>7.0000000000000001E-3</v>
      </c>
      <c r="P196" s="4">
        <v>0</v>
      </c>
      <c r="Q196" s="3" t="s">
        <v>26</v>
      </c>
      <c r="R196" s="3">
        <v>0</v>
      </c>
      <c r="S196" s="4">
        <v>0</v>
      </c>
      <c r="T196" s="4">
        <v>35</v>
      </c>
      <c r="U196" s="4">
        <v>70</v>
      </c>
      <c r="V196" s="58">
        <f>IF(ISERROR(VLOOKUP($S$196,'TAR FIN'!$A$1:$O$88,15,0)),0,VLOOKUP($S$196,'TAR FIN'!$A$1:$O$88,15,0))</f>
        <v>0</v>
      </c>
      <c r="W196" s="58">
        <f>IF(ISERROR(VLOOKUP($T$196,'TAR FIN'!$A$1:$O$88,15,0)),0,VLOOKUP($T$196,'TAR FIN'!$A$1:$O$88,15,0))*(1-0.04)</f>
        <v>2569.1135999999997</v>
      </c>
      <c r="X196" s="58">
        <f>IF(ISERROR(VLOOKUP($U$196,'TAR FIN'!$A$1:$O$88,15,0)),0,VLOOKUP($U$196,'TAR FIN'!$A$1:$O$88,15,0))*(1-0.04)</f>
        <v>144.24959999999999</v>
      </c>
      <c r="Y196" s="58"/>
      <c r="Z196" s="58">
        <f ca="1">('TUSD BE'!$AM$11+'TUSD BF'!$AM$11+'TUSD CVA'!$AM$11)*1*(1-0.02)</f>
        <v>2574.1459307941409</v>
      </c>
      <c r="AA196" s="58">
        <f>('TE BE'!$AB$5+'TE BF'!$AB$5+'TE CVA'!$AB$5)*1*(1-0.02)</f>
        <v>133.89020396648343</v>
      </c>
      <c r="AB196" s="4">
        <f>$K$196*$V$196</f>
        <v>0</v>
      </c>
      <c r="AC196" s="4">
        <f>$M$196*$W$196</f>
        <v>17.983795199999999</v>
      </c>
      <c r="AD196" s="4">
        <f>$O$196*$X$196</f>
        <v>1.0097471999999998</v>
      </c>
      <c r="AE196" s="4">
        <f>$K$196*$Y$196</f>
        <v>0</v>
      </c>
      <c r="AF196" s="4">
        <f ca="1">$M$196*$Z$196</f>
        <v>18.019021515558986</v>
      </c>
      <c r="AG196" s="4">
        <f>$O$196*$AA$196</f>
        <v>0.93723142776538404</v>
      </c>
    </row>
    <row r="197" spans="1:33" ht="11.25" customHeight="1" x14ac:dyDescent="0.25">
      <c r="A197" s="3" t="s">
        <v>21</v>
      </c>
      <c r="B197" s="3" t="s">
        <v>35</v>
      </c>
      <c r="C197" s="3" t="s">
        <v>39</v>
      </c>
      <c r="D197" s="3" t="s">
        <v>49</v>
      </c>
      <c r="E197" s="3" t="s">
        <v>50</v>
      </c>
      <c r="F197" s="3" t="s">
        <v>25</v>
      </c>
      <c r="G197" s="3" t="s">
        <v>25</v>
      </c>
      <c r="H197" s="3" t="s">
        <v>38</v>
      </c>
      <c r="I197" s="6">
        <v>44501</v>
      </c>
      <c r="J197" s="4">
        <v>0</v>
      </c>
      <c r="K197" s="58">
        <v>0</v>
      </c>
      <c r="L197" s="4">
        <v>3.375</v>
      </c>
      <c r="M197" s="58">
        <v>3.375</v>
      </c>
      <c r="N197" s="4">
        <v>3.375</v>
      </c>
      <c r="O197" s="58">
        <v>3.375</v>
      </c>
      <c r="P197" s="4">
        <v>0</v>
      </c>
      <c r="Q197" s="3" t="s">
        <v>26</v>
      </c>
      <c r="R197" s="3">
        <v>0</v>
      </c>
      <c r="S197" s="4">
        <v>0</v>
      </c>
      <c r="T197" s="4">
        <v>50</v>
      </c>
      <c r="U197" s="4">
        <v>61</v>
      </c>
      <c r="V197" s="58">
        <f>IF(ISERROR(VLOOKUP($S$197,'TAR FIN'!$A$1:$O$88,15,0)),0,VLOOKUP($S$197,'TAR FIN'!$A$1:$O$88,15,0))</f>
        <v>0</v>
      </c>
      <c r="W197" s="58">
        <f>IF(ISERROR(VLOOKUP($T$197,'TAR FIN'!$A$1:$O$88,15,0)),0,VLOOKUP($T$197,'TAR FIN'!$A$1:$O$88,15,0))*(1-0.06)</f>
        <v>56.757199999999997</v>
      </c>
      <c r="X197" s="58">
        <f>IF(ISERROR(VLOOKUP($U$197,'TAR FIN'!$A$1:$O$88,15,0)),0,VLOOKUP($U$197,'TAR FIN'!$A$1:$O$88,15,0))*(1-0.06)</f>
        <v>141.24439999999998</v>
      </c>
      <c r="Y197" s="58"/>
      <c r="Z197" s="58">
        <f ca="1">('TUSD BE'!$AM$12+'TUSD BF'!$AM$12+'TUSD CVA'!$AM$12)*1*(1-0.03)</f>
        <v>91.682163922213206</v>
      </c>
      <c r="AA197" s="58">
        <f>('TE BE'!$AB$6+'TE BF'!$AB$6+'TE CVA'!$AB$6)*1*(1-0.03)</f>
        <v>132.52397739539686</v>
      </c>
      <c r="AB197" s="4">
        <f>$K$197*$V$197</f>
        <v>0</v>
      </c>
      <c r="AC197" s="4">
        <f>$M$197*$W$197</f>
        <v>191.55554999999998</v>
      </c>
      <c r="AD197" s="4">
        <f>$O$197*$X$197</f>
        <v>476.69984999999997</v>
      </c>
      <c r="AE197" s="4">
        <f>$K$197*$Y$197</f>
        <v>0</v>
      </c>
      <c r="AF197" s="4">
        <f ca="1">$M$197*$Z$197</f>
        <v>309.42730323746957</v>
      </c>
      <c r="AG197" s="4">
        <f>$O$197*$AA$197</f>
        <v>447.2684237094644</v>
      </c>
    </row>
    <row r="198" spans="1:33" ht="11.25" customHeight="1" x14ac:dyDescent="0.25">
      <c r="A198" s="3" t="s">
        <v>21</v>
      </c>
      <c r="B198" s="3" t="s">
        <v>35</v>
      </c>
      <c r="C198" s="3" t="s">
        <v>39</v>
      </c>
      <c r="D198" s="3" t="s">
        <v>49</v>
      </c>
      <c r="E198" s="3" t="s">
        <v>50</v>
      </c>
      <c r="F198" s="3" t="s">
        <v>25</v>
      </c>
      <c r="G198" s="3" t="s">
        <v>25</v>
      </c>
      <c r="H198" s="3" t="s">
        <v>38</v>
      </c>
      <c r="I198" s="6">
        <v>44531</v>
      </c>
      <c r="J198" s="4">
        <v>0</v>
      </c>
      <c r="K198" s="58">
        <v>0</v>
      </c>
      <c r="L198" s="4">
        <v>2.33</v>
      </c>
      <c r="M198" s="58">
        <v>2.33</v>
      </c>
      <c r="N198" s="4">
        <v>2.33</v>
      </c>
      <c r="O198" s="58">
        <v>2.33</v>
      </c>
      <c r="P198" s="4">
        <v>0</v>
      </c>
      <c r="Q198" s="3" t="s">
        <v>26</v>
      </c>
      <c r="R198" s="3">
        <v>0</v>
      </c>
      <c r="S198" s="4">
        <v>0</v>
      </c>
      <c r="T198" s="4">
        <v>50</v>
      </c>
      <c r="U198" s="4">
        <v>61</v>
      </c>
      <c r="V198" s="58">
        <f>IF(ISERROR(VLOOKUP($S$198,'TAR FIN'!$A$1:$O$88,15,0)),0,VLOOKUP($S$198,'TAR FIN'!$A$1:$O$88,15,0))</f>
        <v>0</v>
      </c>
      <c r="W198" s="58">
        <f>IF(ISERROR(VLOOKUP($T$198,'TAR FIN'!$A$1:$O$88,15,0)),0,VLOOKUP($T$198,'TAR FIN'!$A$1:$O$88,15,0))*(1-0.06)</f>
        <v>56.757199999999997</v>
      </c>
      <c r="X198" s="58">
        <f>IF(ISERROR(VLOOKUP($U$198,'TAR FIN'!$A$1:$O$88,15,0)),0,VLOOKUP($U$198,'TAR FIN'!$A$1:$O$88,15,0))*(1-0.06)</f>
        <v>141.24439999999998</v>
      </c>
      <c r="Y198" s="58"/>
      <c r="Z198" s="58">
        <f ca="1">('TUSD BE'!$AM$12+'TUSD BF'!$AM$12+'TUSD CVA'!$AM$12)*1*(1-0.03)</f>
        <v>91.682163922213206</v>
      </c>
      <c r="AA198" s="58">
        <f>('TE BE'!$AB$6+'TE BF'!$AB$6+'TE CVA'!$AB$6)*1*(1-0.03)</f>
        <v>132.52397739539686</v>
      </c>
      <c r="AB198" s="4">
        <f>$K$198*$V$198</f>
        <v>0</v>
      </c>
      <c r="AC198" s="4">
        <f>$M$198*$W$198</f>
        <v>132.24427599999999</v>
      </c>
      <c r="AD198" s="4">
        <f>$O$198*$X$198</f>
        <v>329.09945199999999</v>
      </c>
      <c r="AE198" s="4">
        <f>$K$198*$Y$198</f>
        <v>0</v>
      </c>
      <c r="AF198" s="4">
        <f ca="1">$M$198*$Z$198</f>
        <v>213.61944193875678</v>
      </c>
      <c r="AG198" s="4">
        <f>$O$198*$AA$198</f>
        <v>308.78086733127469</v>
      </c>
    </row>
    <row r="199" spans="1:33" ht="11.25" customHeight="1" x14ac:dyDescent="0.25">
      <c r="A199" s="3" t="s">
        <v>21</v>
      </c>
      <c r="B199" s="3" t="s">
        <v>35</v>
      </c>
      <c r="C199" s="3" t="s">
        <v>39</v>
      </c>
      <c r="D199" s="3" t="s">
        <v>49</v>
      </c>
      <c r="E199" s="3" t="s">
        <v>50</v>
      </c>
      <c r="F199" s="3" t="s">
        <v>25</v>
      </c>
      <c r="G199" s="3" t="s">
        <v>25</v>
      </c>
      <c r="H199" s="3" t="s">
        <v>38</v>
      </c>
      <c r="I199" s="6">
        <v>44562</v>
      </c>
      <c r="J199" s="4">
        <v>0</v>
      </c>
      <c r="K199" s="58">
        <v>0</v>
      </c>
      <c r="L199" s="4">
        <v>2.5019999999999998</v>
      </c>
      <c r="M199" s="58">
        <v>2.5019999999999998</v>
      </c>
      <c r="N199" s="4">
        <v>2.5019999999999998</v>
      </c>
      <c r="O199" s="58">
        <v>2.5019999999999998</v>
      </c>
      <c r="P199" s="4">
        <v>0</v>
      </c>
      <c r="Q199" s="3" t="s">
        <v>26</v>
      </c>
      <c r="R199" s="3">
        <v>0</v>
      </c>
      <c r="S199" s="4">
        <v>0</v>
      </c>
      <c r="T199" s="4">
        <v>50</v>
      </c>
      <c r="U199" s="4">
        <v>61</v>
      </c>
      <c r="V199" s="58">
        <f>IF(ISERROR(VLOOKUP($S$199,'TAR FIN'!$A$1:$O$88,15,0)),0,VLOOKUP($S$199,'TAR FIN'!$A$1:$O$88,15,0))</f>
        <v>0</v>
      </c>
      <c r="W199" s="58">
        <f>IF(ISERROR(VLOOKUP($T$199,'TAR FIN'!$A$1:$O$88,15,0)),0,VLOOKUP($T$199,'TAR FIN'!$A$1:$O$88,15,0))*(1-0.06)</f>
        <v>56.757199999999997</v>
      </c>
      <c r="X199" s="58">
        <f>IF(ISERROR(VLOOKUP($U$199,'TAR FIN'!$A$1:$O$88,15,0)),0,VLOOKUP($U$199,'TAR FIN'!$A$1:$O$88,15,0))*(1-0.06)</f>
        <v>141.24439999999998</v>
      </c>
      <c r="Y199" s="58"/>
      <c r="Z199" s="58">
        <f ca="1">('TUSD BE'!$AM$12+'TUSD BF'!$AM$12+'TUSD CVA'!$AM$12)*1*(1-0.03)</f>
        <v>91.682163922213206</v>
      </c>
      <c r="AA199" s="58">
        <f>('TE BE'!$AB$6+'TE BF'!$AB$6+'TE CVA'!$AB$6)*1*(1-0.03)</f>
        <v>132.52397739539686</v>
      </c>
      <c r="AB199" s="4">
        <f>$K$199*$V$199</f>
        <v>0</v>
      </c>
      <c r="AC199" s="4">
        <f>$M$199*$W$199</f>
        <v>142.00651439999999</v>
      </c>
      <c r="AD199" s="4">
        <f>$O$199*$X$199</f>
        <v>353.39348879999994</v>
      </c>
      <c r="AE199" s="4">
        <f>$K$199*$Y$199</f>
        <v>0</v>
      </c>
      <c r="AF199" s="4">
        <f ca="1">$M$199*$Z$199</f>
        <v>229.38877413337741</v>
      </c>
      <c r="AG199" s="4">
        <f>$O$199*$AA$199</f>
        <v>331.5749914432829</v>
      </c>
    </row>
    <row r="200" spans="1:33" ht="11.25" customHeight="1" x14ac:dyDescent="0.25">
      <c r="A200" s="3" t="s">
        <v>21</v>
      </c>
      <c r="B200" s="3" t="s">
        <v>35</v>
      </c>
      <c r="C200" s="3" t="s">
        <v>39</v>
      </c>
      <c r="D200" s="3" t="s">
        <v>49</v>
      </c>
      <c r="E200" s="3" t="s">
        <v>50</v>
      </c>
      <c r="F200" s="3" t="s">
        <v>25</v>
      </c>
      <c r="G200" s="3" t="s">
        <v>25</v>
      </c>
      <c r="H200" s="3" t="s">
        <v>38</v>
      </c>
      <c r="I200" s="6">
        <v>44593</v>
      </c>
      <c r="J200" s="4">
        <v>0</v>
      </c>
      <c r="K200" s="58">
        <v>0</v>
      </c>
      <c r="L200" s="4">
        <v>2.4159999999999999</v>
      </c>
      <c r="M200" s="58">
        <v>2.4159999999999999</v>
      </c>
      <c r="N200" s="4">
        <v>2.4159999999999999</v>
      </c>
      <c r="O200" s="58">
        <v>2.4159999999999999</v>
      </c>
      <c r="P200" s="4">
        <v>0</v>
      </c>
      <c r="Q200" s="3" t="s">
        <v>26</v>
      </c>
      <c r="R200" s="3">
        <v>0</v>
      </c>
      <c r="S200" s="4">
        <v>0</v>
      </c>
      <c r="T200" s="4">
        <v>50</v>
      </c>
      <c r="U200" s="4">
        <v>61</v>
      </c>
      <c r="V200" s="58">
        <f>IF(ISERROR(VLOOKUP($S$200,'TAR FIN'!$A$1:$O$88,15,0)),0,VLOOKUP($S$200,'TAR FIN'!$A$1:$O$88,15,0))</f>
        <v>0</v>
      </c>
      <c r="W200" s="58">
        <f>IF(ISERROR(VLOOKUP($T$200,'TAR FIN'!$A$1:$O$88,15,0)),0,VLOOKUP($T$200,'TAR FIN'!$A$1:$O$88,15,0))*(1-0.06)</f>
        <v>56.757199999999997</v>
      </c>
      <c r="X200" s="58">
        <f>IF(ISERROR(VLOOKUP($U$200,'TAR FIN'!$A$1:$O$88,15,0)),0,VLOOKUP($U$200,'TAR FIN'!$A$1:$O$88,15,0))*(1-0.06)</f>
        <v>141.24439999999998</v>
      </c>
      <c r="Y200" s="58"/>
      <c r="Z200" s="58">
        <f ca="1">('TUSD BE'!$AM$12+'TUSD BF'!$AM$12+'TUSD CVA'!$AM$12)*1*(1-0.03)</f>
        <v>91.682163922213206</v>
      </c>
      <c r="AA200" s="58">
        <f>('TE BE'!$AB$6+'TE BF'!$AB$6+'TE CVA'!$AB$6)*1*(1-0.03)</f>
        <v>132.52397739539686</v>
      </c>
      <c r="AB200" s="4">
        <f>$K$200*$V$200</f>
        <v>0</v>
      </c>
      <c r="AC200" s="4">
        <f>$M$200*$W$200</f>
        <v>137.12539519999999</v>
      </c>
      <c r="AD200" s="4">
        <f>$O$200*$X$200</f>
        <v>341.24647039999996</v>
      </c>
      <c r="AE200" s="4">
        <f>$K$200*$Y$200</f>
        <v>0</v>
      </c>
      <c r="AF200" s="4">
        <f ca="1">$M$200*$Z$200</f>
        <v>221.50410803606709</v>
      </c>
      <c r="AG200" s="4">
        <f>$O$200*$AA$200</f>
        <v>320.17792938727877</v>
      </c>
    </row>
    <row r="201" spans="1:33" ht="11.25" customHeight="1" x14ac:dyDescent="0.25">
      <c r="A201" s="3" t="s">
        <v>21</v>
      </c>
      <c r="B201" s="3" t="s">
        <v>35</v>
      </c>
      <c r="C201" s="3" t="s">
        <v>39</v>
      </c>
      <c r="D201" s="3" t="s">
        <v>49</v>
      </c>
      <c r="E201" s="3" t="s">
        <v>50</v>
      </c>
      <c r="F201" s="3" t="s">
        <v>25</v>
      </c>
      <c r="G201" s="3" t="s">
        <v>25</v>
      </c>
      <c r="H201" s="3" t="s">
        <v>38</v>
      </c>
      <c r="I201" s="6">
        <v>44621</v>
      </c>
      <c r="J201" s="4">
        <v>0</v>
      </c>
      <c r="K201" s="58">
        <v>0</v>
      </c>
      <c r="L201" s="4">
        <v>2.2210000000000001</v>
      </c>
      <c r="M201" s="58">
        <v>2.2210000000000001</v>
      </c>
      <c r="N201" s="4">
        <v>2.2210000000000001</v>
      </c>
      <c r="O201" s="58">
        <v>2.2210000000000001</v>
      </c>
      <c r="P201" s="4">
        <v>0</v>
      </c>
      <c r="Q201" s="3" t="s">
        <v>26</v>
      </c>
      <c r="R201" s="3">
        <v>0</v>
      </c>
      <c r="S201" s="4">
        <v>0</v>
      </c>
      <c r="T201" s="4">
        <v>50</v>
      </c>
      <c r="U201" s="4">
        <v>61</v>
      </c>
      <c r="V201" s="58">
        <f>IF(ISERROR(VLOOKUP($S$201,'TAR FIN'!$A$1:$O$88,15,0)),0,VLOOKUP($S$201,'TAR FIN'!$A$1:$O$88,15,0))</f>
        <v>0</v>
      </c>
      <c r="W201" s="58">
        <f>IF(ISERROR(VLOOKUP($T$201,'TAR FIN'!$A$1:$O$88,15,0)),0,VLOOKUP($T$201,'TAR FIN'!$A$1:$O$88,15,0))*(1-0.06)</f>
        <v>56.757199999999997</v>
      </c>
      <c r="X201" s="58">
        <f>IF(ISERROR(VLOOKUP($U$201,'TAR FIN'!$A$1:$O$88,15,0)),0,VLOOKUP($U$201,'TAR FIN'!$A$1:$O$88,15,0))*(1-0.06)</f>
        <v>141.24439999999998</v>
      </c>
      <c r="Y201" s="58"/>
      <c r="Z201" s="58">
        <f ca="1">('TUSD BE'!$AM$12+'TUSD BF'!$AM$12+'TUSD CVA'!$AM$12)*1*(1-0.03)</f>
        <v>91.682163922213206</v>
      </c>
      <c r="AA201" s="58">
        <f>('TE BE'!$AB$6+'TE BF'!$AB$6+'TE CVA'!$AB$6)*1*(1-0.03)</f>
        <v>132.52397739539686</v>
      </c>
      <c r="AB201" s="4">
        <f>$K$201*$V$201</f>
        <v>0</v>
      </c>
      <c r="AC201" s="4">
        <f>$M$201*$W$201</f>
        <v>126.0577412</v>
      </c>
      <c r="AD201" s="4">
        <f>$O$201*$X$201</f>
        <v>313.7038124</v>
      </c>
      <c r="AE201" s="4">
        <f>$K$201*$Y$201</f>
        <v>0</v>
      </c>
      <c r="AF201" s="4">
        <f ca="1">$M$201*$Z$201</f>
        <v>203.62608607123553</v>
      </c>
      <c r="AG201" s="4">
        <f>$O$201*$AA$201</f>
        <v>294.3357537951764</v>
      </c>
    </row>
    <row r="202" spans="1:33" ht="11.25" customHeight="1" x14ac:dyDescent="0.25">
      <c r="A202" s="3" t="s">
        <v>21</v>
      </c>
      <c r="B202" s="3" t="s">
        <v>35</v>
      </c>
      <c r="C202" s="3" t="s">
        <v>39</v>
      </c>
      <c r="D202" s="3" t="s">
        <v>49</v>
      </c>
      <c r="E202" s="3" t="s">
        <v>50</v>
      </c>
      <c r="F202" s="3" t="s">
        <v>25</v>
      </c>
      <c r="G202" s="3" t="s">
        <v>25</v>
      </c>
      <c r="H202" s="3" t="s">
        <v>38</v>
      </c>
      <c r="I202" s="6">
        <v>44652</v>
      </c>
      <c r="J202" s="4">
        <v>0</v>
      </c>
      <c r="K202" s="58">
        <v>0</v>
      </c>
      <c r="L202" s="4">
        <v>4.6870000000000003</v>
      </c>
      <c r="M202" s="58">
        <v>4.6870000000000003</v>
      </c>
      <c r="N202" s="4">
        <v>4.6870000000000003</v>
      </c>
      <c r="O202" s="58">
        <v>4.6870000000000003</v>
      </c>
      <c r="P202" s="4">
        <v>0</v>
      </c>
      <c r="Q202" s="3" t="s">
        <v>26</v>
      </c>
      <c r="R202" s="3">
        <v>0</v>
      </c>
      <c r="S202" s="4">
        <v>0</v>
      </c>
      <c r="T202" s="4">
        <v>50</v>
      </c>
      <c r="U202" s="4">
        <v>61</v>
      </c>
      <c r="V202" s="58">
        <f>IF(ISERROR(VLOOKUP($S$202,'TAR FIN'!$A$1:$O$88,15,0)),0,VLOOKUP($S$202,'TAR FIN'!$A$1:$O$88,15,0))</f>
        <v>0</v>
      </c>
      <c r="W202" s="58">
        <f>IF(ISERROR(VLOOKUP($T$202,'TAR FIN'!$A$1:$O$88,15,0)),0,VLOOKUP($T$202,'TAR FIN'!$A$1:$O$88,15,0))*(1-0.06)</f>
        <v>56.757199999999997</v>
      </c>
      <c r="X202" s="58">
        <f>IF(ISERROR(VLOOKUP($U$202,'TAR FIN'!$A$1:$O$88,15,0)),0,VLOOKUP($U$202,'TAR FIN'!$A$1:$O$88,15,0))*(1-0.06)</f>
        <v>141.24439999999998</v>
      </c>
      <c r="Y202" s="58"/>
      <c r="Z202" s="58">
        <f ca="1">('TUSD BE'!$AM$12+'TUSD BF'!$AM$12+'TUSD CVA'!$AM$12)*1*(1-0.03)</f>
        <v>91.682163922213206</v>
      </c>
      <c r="AA202" s="58">
        <f>('TE BE'!$AB$6+'TE BF'!$AB$6+'TE CVA'!$AB$6)*1*(1-0.03)</f>
        <v>132.52397739539686</v>
      </c>
      <c r="AB202" s="4">
        <f>$K$202*$V$202</f>
        <v>0</v>
      </c>
      <c r="AC202" s="4">
        <f>$M$202*$W$202</f>
        <v>266.0209964</v>
      </c>
      <c r="AD202" s="4">
        <f>$O$202*$X$202</f>
        <v>662.01250279999999</v>
      </c>
      <c r="AE202" s="4">
        <f>$K$202*$Y$202</f>
        <v>0</v>
      </c>
      <c r="AF202" s="4">
        <f ca="1">$M$202*$Z$202</f>
        <v>429.71430230341332</v>
      </c>
      <c r="AG202" s="4">
        <f>$O$202*$AA$202</f>
        <v>621.13988205222506</v>
      </c>
    </row>
    <row r="203" spans="1:33" ht="11.25" customHeight="1" x14ac:dyDescent="0.25">
      <c r="A203" s="3" t="s">
        <v>21</v>
      </c>
      <c r="B203" s="3" t="s">
        <v>35</v>
      </c>
      <c r="C203" s="3" t="s">
        <v>39</v>
      </c>
      <c r="D203" s="3" t="s">
        <v>49</v>
      </c>
      <c r="E203" s="3" t="s">
        <v>50</v>
      </c>
      <c r="F203" s="3" t="s">
        <v>25</v>
      </c>
      <c r="G203" s="3" t="s">
        <v>25</v>
      </c>
      <c r="H203" s="3" t="s">
        <v>38</v>
      </c>
      <c r="I203" s="6">
        <v>44682</v>
      </c>
      <c r="J203" s="4">
        <v>0</v>
      </c>
      <c r="K203" s="58">
        <v>0</v>
      </c>
      <c r="L203" s="4">
        <v>4.9539999999999997</v>
      </c>
      <c r="M203" s="58">
        <v>4.9539999999999997</v>
      </c>
      <c r="N203" s="4">
        <v>4.9539999999999997</v>
      </c>
      <c r="O203" s="58">
        <v>4.9539999999999997</v>
      </c>
      <c r="P203" s="4">
        <v>0</v>
      </c>
      <c r="Q203" s="3" t="s">
        <v>26</v>
      </c>
      <c r="R203" s="3">
        <v>0</v>
      </c>
      <c r="S203" s="4">
        <v>0</v>
      </c>
      <c r="T203" s="4">
        <v>50</v>
      </c>
      <c r="U203" s="4">
        <v>61</v>
      </c>
      <c r="V203" s="58">
        <f>IF(ISERROR(VLOOKUP($S$203,'TAR FIN'!$A$1:$O$88,15,0)),0,VLOOKUP($S$203,'TAR FIN'!$A$1:$O$88,15,0))</f>
        <v>0</v>
      </c>
      <c r="W203" s="58">
        <f>IF(ISERROR(VLOOKUP($T$203,'TAR FIN'!$A$1:$O$88,15,0)),0,VLOOKUP($T$203,'TAR FIN'!$A$1:$O$88,15,0))*(1-0.06)</f>
        <v>56.757199999999997</v>
      </c>
      <c r="X203" s="58">
        <f>IF(ISERROR(VLOOKUP($U$203,'TAR FIN'!$A$1:$O$88,15,0)),0,VLOOKUP($U$203,'TAR FIN'!$A$1:$O$88,15,0))*(1-0.06)</f>
        <v>141.24439999999998</v>
      </c>
      <c r="Y203" s="58"/>
      <c r="Z203" s="58">
        <f ca="1">('TUSD BE'!$AM$12+'TUSD BF'!$AM$12+'TUSD CVA'!$AM$12)*1*(1-0.03)</f>
        <v>91.682163922213206</v>
      </c>
      <c r="AA203" s="58">
        <f>('TE BE'!$AB$6+'TE BF'!$AB$6+'TE CVA'!$AB$6)*1*(1-0.03)</f>
        <v>132.52397739539686</v>
      </c>
      <c r="AB203" s="4">
        <f>$K$203*$V$203</f>
        <v>0</v>
      </c>
      <c r="AC203" s="4">
        <f>$M$203*$W$203</f>
        <v>281.17516879999999</v>
      </c>
      <c r="AD203" s="4">
        <f>$O$203*$X$203</f>
        <v>699.72475759999986</v>
      </c>
      <c r="AE203" s="4">
        <f>$K$203*$Y$203</f>
        <v>0</v>
      </c>
      <c r="AF203" s="4">
        <f ca="1">$M$203*$Z$203</f>
        <v>454.19344007064421</v>
      </c>
      <c r="AG203" s="4">
        <f>$O$203*$AA$203</f>
        <v>656.52378401679596</v>
      </c>
    </row>
    <row r="204" spans="1:33" ht="11.25" customHeight="1" x14ac:dyDescent="0.25">
      <c r="A204" s="3" t="s">
        <v>21</v>
      </c>
      <c r="B204" s="3" t="s">
        <v>35</v>
      </c>
      <c r="C204" s="3" t="s">
        <v>39</v>
      </c>
      <c r="D204" s="3" t="s">
        <v>49</v>
      </c>
      <c r="E204" s="3" t="s">
        <v>50</v>
      </c>
      <c r="F204" s="3" t="s">
        <v>25</v>
      </c>
      <c r="G204" s="3" t="s">
        <v>25</v>
      </c>
      <c r="H204" s="3" t="s">
        <v>38</v>
      </c>
      <c r="I204" s="6">
        <v>44713</v>
      </c>
      <c r="J204" s="4">
        <v>0</v>
      </c>
      <c r="K204" s="58">
        <v>0</v>
      </c>
      <c r="L204" s="4">
        <v>5.3840000000000003</v>
      </c>
      <c r="M204" s="58">
        <v>5.3840000000000003</v>
      </c>
      <c r="N204" s="4">
        <v>5.3840000000000003</v>
      </c>
      <c r="O204" s="58">
        <v>5.3840000000000003</v>
      </c>
      <c r="P204" s="4">
        <v>0</v>
      </c>
      <c r="Q204" s="3" t="s">
        <v>26</v>
      </c>
      <c r="R204" s="3">
        <v>0</v>
      </c>
      <c r="S204" s="4">
        <v>0</v>
      </c>
      <c r="T204" s="4">
        <v>50</v>
      </c>
      <c r="U204" s="4">
        <v>61</v>
      </c>
      <c r="V204" s="58">
        <f>IF(ISERROR(VLOOKUP($S$204,'TAR FIN'!$A$1:$O$88,15,0)),0,VLOOKUP($S$204,'TAR FIN'!$A$1:$O$88,15,0))</f>
        <v>0</v>
      </c>
      <c r="W204" s="58">
        <f>IF(ISERROR(VLOOKUP($T$204,'TAR FIN'!$A$1:$O$88,15,0)),0,VLOOKUP($T$204,'TAR FIN'!$A$1:$O$88,15,0))*(1-0.06)</f>
        <v>56.757199999999997</v>
      </c>
      <c r="X204" s="58">
        <f>IF(ISERROR(VLOOKUP($U$204,'TAR FIN'!$A$1:$O$88,15,0)),0,VLOOKUP($U$204,'TAR FIN'!$A$1:$O$88,15,0))*(1-0.06)</f>
        <v>141.24439999999998</v>
      </c>
      <c r="Y204" s="58"/>
      <c r="Z204" s="58">
        <f ca="1">('TUSD BE'!$AM$12+'TUSD BF'!$AM$12+'TUSD CVA'!$AM$12)*1*(1-0.03)</f>
        <v>91.682163922213206</v>
      </c>
      <c r="AA204" s="58">
        <f>('TE BE'!$AB$6+'TE BF'!$AB$6+'TE CVA'!$AB$6)*1*(1-0.03)</f>
        <v>132.52397739539686</v>
      </c>
      <c r="AB204" s="4">
        <f>$K$204*$V$204</f>
        <v>0</v>
      </c>
      <c r="AC204" s="4">
        <f>$M$204*$W$204</f>
        <v>305.5807648</v>
      </c>
      <c r="AD204" s="4">
        <f>$O$204*$X$204</f>
        <v>760.45984959999998</v>
      </c>
      <c r="AE204" s="4">
        <f>$K$204*$Y$204</f>
        <v>0</v>
      </c>
      <c r="AF204" s="4">
        <f ca="1">$M$204*$Z$204</f>
        <v>493.61677055719593</v>
      </c>
      <c r="AG204" s="4">
        <f>$O$204*$AA$204</f>
        <v>713.50909429681667</v>
      </c>
    </row>
    <row r="205" spans="1:33" ht="11.25" customHeight="1" x14ac:dyDescent="0.25">
      <c r="A205" s="3" t="s">
        <v>21</v>
      </c>
      <c r="B205" s="3" t="s">
        <v>35</v>
      </c>
      <c r="C205" s="3" t="s">
        <v>39</v>
      </c>
      <c r="D205" s="3" t="s">
        <v>49</v>
      </c>
      <c r="E205" s="3" t="s">
        <v>50</v>
      </c>
      <c r="F205" s="3" t="s">
        <v>25</v>
      </c>
      <c r="G205" s="3" t="s">
        <v>25</v>
      </c>
      <c r="H205" s="3" t="s">
        <v>38</v>
      </c>
      <c r="I205" s="6">
        <v>44743</v>
      </c>
      <c r="J205" s="4">
        <v>0</v>
      </c>
      <c r="K205" s="58">
        <v>0</v>
      </c>
      <c r="L205" s="4">
        <v>5.2229999999999999</v>
      </c>
      <c r="M205" s="58">
        <v>5.2229999999999999</v>
      </c>
      <c r="N205" s="4">
        <v>5.2229999999999999</v>
      </c>
      <c r="O205" s="58">
        <v>5.2229999999999999</v>
      </c>
      <c r="P205" s="4">
        <v>0</v>
      </c>
      <c r="Q205" s="3" t="s">
        <v>26</v>
      </c>
      <c r="R205" s="3">
        <v>0</v>
      </c>
      <c r="S205" s="4">
        <v>0</v>
      </c>
      <c r="T205" s="4">
        <v>50</v>
      </c>
      <c r="U205" s="4">
        <v>61</v>
      </c>
      <c r="V205" s="58">
        <f>IF(ISERROR(VLOOKUP($S$205,'TAR FIN'!$A$1:$O$88,15,0)),0,VLOOKUP($S$205,'TAR FIN'!$A$1:$O$88,15,0))</f>
        <v>0</v>
      </c>
      <c r="W205" s="58">
        <f>IF(ISERROR(VLOOKUP($T$205,'TAR FIN'!$A$1:$O$88,15,0)),0,VLOOKUP($T$205,'TAR FIN'!$A$1:$O$88,15,0))*(1-0.06)</f>
        <v>56.757199999999997</v>
      </c>
      <c r="X205" s="58">
        <f>IF(ISERROR(VLOOKUP($U$205,'TAR FIN'!$A$1:$O$88,15,0)),0,VLOOKUP($U$205,'TAR FIN'!$A$1:$O$88,15,0))*(1-0.06)</f>
        <v>141.24439999999998</v>
      </c>
      <c r="Y205" s="58"/>
      <c r="Z205" s="58">
        <f ca="1">('TUSD BE'!$AM$12+'TUSD BF'!$AM$12+'TUSD CVA'!$AM$12)*1*(1-0.03)</f>
        <v>91.682163922213206</v>
      </c>
      <c r="AA205" s="58">
        <f>('TE BE'!$AB$6+'TE BF'!$AB$6+'TE CVA'!$AB$6)*1*(1-0.03)</f>
        <v>132.52397739539686</v>
      </c>
      <c r="AB205" s="4">
        <f>$K$205*$V$205</f>
        <v>0</v>
      </c>
      <c r="AC205" s="4">
        <f>$M$205*$W$205</f>
        <v>296.44285559999997</v>
      </c>
      <c r="AD205" s="4">
        <f>$O$205*$X$205</f>
        <v>737.71950119999985</v>
      </c>
      <c r="AE205" s="4">
        <f>$K$205*$Y$205</f>
        <v>0</v>
      </c>
      <c r="AF205" s="4">
        <f ca="1">$M$205*$Z$205</f>
        <v>478.85594216571957</v>
      </c>
      <c r="AG205" s="4">
        <f>$O$205*$AA$205</f>
        <v>692.17273393615778</v>
      </c>
    </row>
    <row r="206" spans="1:33" ht="11.25" customHeight="1" x14ac:dyDescent="0.25">
      <c r="A206" s="3" t="s">
        <v>55</v>
      </c>
      <c r="B206" s="3" t="s">
        <v>35</v>
      </c>
      <c r="C206" s="3" t="s">
        <v>39</v>
      </c>
      <c r="D206" s="3" t="s">
        <v>49</v>
      </c>
      <c r="E206" s="3" t="s">
        <v>50</v>
      </c>
      <c r="F206" s="3" t="s">
        <v>25</v>
      </c>
      <c r="G206" s="3" t="s">
        <v>25</v>
      </c>
      <c r="H206" s="3" t="s">
        <v>38</v>
      </c>
      <c r="I206" s="6">
        <v>44774</v>
      </c>
      <c r="J206" s="4">
        <v>0</v>
      </c>
      <c r="K206" s="58">
        <v>0</v>
      </c>
      <c r="L206" s="4">
        <v>5.2229999999999999</v>
      </c>
      <c r="M206" s="58">
        <v>5.2229999999999999</v>
      </c>
      <c r="N206" s="4">
        <v>5.2229999999999999</v>
      </c>
      <c r="O206" s="58">
        <v>5.2229999999999999</v>
      </c>
      <c r="P206" s="4">
        <v>0</v>
      </c>
      <c r="Q206" s="3" t="s">
        <v>26</v>
      </c>
      <c r="R206" s="3">
        <v>0</v>
      </c>
      <c r="S206" s="4">
        <v>0</v>
      </c>
      <c r="T206" s="4">
        <v>50</v>
      </c>
      <c r="U206" s="4">
        <v>61</v>
      </c>
      <c r="V206" s="58">
        <f>IF(ISERROR(VLOOKUP($S$206,'TAR FIN'!$A$1:$O$88,15,0)),0,VLOOKUP($S$206,'TAR FIN'!$A$1:$O$88,15,0))</f>
        <v>0</v>
      </c>
      <c r="W206" s="58">
        <f>IF(ISERROR(VLOOKUP($T$206,'TAR FIN'!$A$1:$O$88,15,0)),0,VLOOKUP($T$206,'TAR FIN'!$A$1:$O$88,15,0))*(1-0.06)</f>
        <v>56.757199999999997</v>
      </c>
      <c r="X206" s="58">
        <f>IF(ISERROR(VLOOKUP($U$206,'TAR FIN'!$A$1:$O$88,15,0)),0,VLOOKUP($U$206,'TAR FIN'!$A$1:$O$88,15,0))*(1-0.06)</f>
        <v>141.24439999999998</v>
      </c>
      <c r="Y206" s="58"/>
      <c r="Z206" s="58">
        <f ca="1">('TUSD BE'!$AM$12+'TUSD BF'!$AM$12+'TUSD CVA'!$AM$12)*1*(1-0.03)</f>
        <v>91.682163922213206</v>
      </c>
      <c r="AA206" s="58">
        <f>('TE BE'!$AB$6+'TE BF'!$AB$6+'TE CVA'!$AB$6)*1*(1-0.03)</f>
        <v>132.52397739539686</v>
      </c>
      <c r="AB206" s="4">
        <f>$K$206*$V$206</f>
        <v>0</v>
      </c>
      <c r="AC206" s="4">
        <f>$M$206*$W$206</f>
        <v>296.44285559999997</v>
      </c>
      <c r="AD206" s="4">
        <f>$O$206*$X$206</f>
        <v>737.71950119999985</v>
      </c>
      <c r="AE206" s="4">
        <f>$K$206*$Y$206</f>
        <v>0</v>
      </c>
      <c r="AF206" s="4">
        <f ca="1">$M$206*$Z$206</f>
        <v>478.85594216571957</v>
      </c>
      <c r="AG206" s="4">
        <f>$O$206*$AA$206</f>
        <v>692.17273393615778</v>
      </c>
    </row>
    <row r="207" spans="1:33" ht="11.25" customHeight="1" x14ac:dyDescent="0.25">
      <c r="A207" s="3" t="s">
        <v>21</v>
      </c>
      <c r="B207" s="3" t="s">
        <v>35</v>
      </c>
      <c r="C207" s="3" t="s">
        <v>39</v>
      </c>
      <c r="D207" s="3" t="s">
        <v>49</v>
      </c>
      <c r="E207" s="3" t="s">
        <v>50</v>
      </c>
      <c r="F207" s="3" t="s">
        <v>25</v>
      </c>
      <c r="G207" s="3" t="s">
        <v>25</v>
      </c>
      <c r="H207" s="3" t="s">
        <v>25</v>
      </c>
      <c r="I207" s="6">
        <v>44501</v>
      </c>
      <c r="J207" s="4">
        <v>30</v>
      </c>
      <c r="K207" s="59">
        <v>30</v>
      </c>
      <c r="L207" s="4">
        <v>0</v>
      </c>
      <c r="M207" s="58">
        <v>0</v>
      </c>
      <c r="N207" s="4">
        <v>0</v>
      </c>
      <c r="O207" s="58">
        <v>0</v>
      </c>
      <c r="P207" s="4">
        <v>1</v>
      </c>
      <c r="Q207" s="3" t="s">
        <v>26</v>
      </c>
      <c r="R207" s="3">
        <v>0</v>
      </c>
      <c r="S207" s="4">
        <v>46</v>
      </c>
      <c r="T207" s="4">
        <v>0</v>
      </c>
      <c r="U207" s="4">
        <v>0</v>
      </c>
      <c r="V207" s="58">
        <f>IF(ISERROR(VLOOKUP($S$207,'TAR FIN'!$A$1:$O$88,15,0)),0,VLOOKUP($S$207,'TAR FIN'!$A$1:$O$88,15,0))*(1-0.06)</f>
        <v>32.411199999999994</v>
      </c>
      <c r="W207" s="58">
        <f>IF(ISERROR(VLOOKUP($T$207,'TAR FIN'!$A$1:$O$88,15,0)),0,VLOOKUP($T$207,'TAR FIN'!$A$1:$O$88,15,0))</f>
        <v>0</v>
      </c>
      <c r="X207" s="58">
        <f>IF(ISERROR(VLOOKUP($U$207,'TAR FIN'!$A$1:$O$88,15,0)),0,VLOOKUP($U$207,'TAR FIN'!$A$1:$O$88,15,0))</f>
        <v>0</v>
      </c>
      <c r="Y207" s="58">
        <f ca="1">('TUSD BE'!$AM$10+'TUSD BF'!$AM$10+'TUSD CVA'!$AM$10)*1*(1-0.03)</f>
        <v>36.590194568948981</v>
      </c>
      <c r="Z207" s="58"/>
      <c r="AA207" s="58"/>
      <c r="AB207" s="4">
        <f>$K$207*$V$207</f>
        <v>972.33599999999979</v>
      </c>
      <c r="AC207" s="4">
        <f>$M$207*$W$207</f>
        <v>0</v>
      </c>
      <c r="AD207" s="4">
        <f>$O$207*$X$207</f>
        <v>0</v>
      </c>
      <c r="AE207" s="4">
        <f ca="1">$K$207*$Y$207</f>
        <v>1097.7058370684695</v>
      </c>
      <c r="AF207" s="4">
        <f>$M$207*$Z$207</f>
        <v>0</v>
      </c>
      <c r="AG207" s="4">
        <f>$O$207*$AA$207</f>
        <v>0</v>
      </c>
    </row>
    <row r="208" spans="1:33" ht="11.25" customHeight="1" x14ac:dyDescent="0.25">
      <c r="A208" s="3" t="s">
        <v>21</v>
      </c>
      <c r="B208" s="3" t="s">
        <v>35</v>
      </c>
      <c r="C208" s="3" t="s">
        <v>39</v>
      </c>
      <c r="D208" s="3" t="s">
        <v>49</v>
      </c>
      <c r="E208" s="3" t="s">
        <v>50</v>
      </c>
      <c r="F208" s="3" t="s">
        <v>25</v>
      </c>
      <c r="G208" s="3" t="s">
        <v>25</v>
      </c>
      <c r="H208" s="3" t="s">
        <v>25</v>
      </c>
      <c r="I208" s="6">
        <v>44531</v>
      </c>
      <c r="J208" s="4">
        <v>30</v>
      </c>
      <c r="K208" s="59">
        <v>30</v>
      </c>
      <c r="L208" s="4">
        <v>0</v>
      </c>
      <c r="M208" s="58">
        <v>0</v>
      </c>
      <c r="N208" s="4">
        <v>0</v>
      </c>
      <c r="O208" s="58">
        <v>0</v>
      </c>
      <c r="P208" s="4">
        <v>1</v>
      </c>
      <c r="Q208" s="3" t="s">
        <v>26</v>
      </c>
      <c r="R208" s="3">
        <v>0</v>
      </c>
      <c r="S208" s="4">
        <v>46</v>
      </c>
      <c r="T208" s="4">
        <v>0</v>
      </c>
      <c r="U208" s="4">
        <v>0</v>
      </c>
      <c r="V208" s="58">
        <f>IF(ISERROR(VLOOKUP($S$208,'TAR FIN'!$A$1:$O$88,15,0)),0,VLOOKUP($S$208,'TAR FIN'!$A$1:$O$88,15,0))*(1-0.06)</f>
        <v>32.411199999999994</v>
      </c>
      <c r="W208" s="58">
        <f>IF(ISERROR(VLOOKUP($T$208,'TAR FIN'!$A$1:$O$88,15,0)),0,VLOOKUP($T$208,'TAR FIN'!$A$1:$O$88,15,0))</f>
        <v>0</v>
      </c>
      <c r="X208" s="58">
        <f>IF(ISERROR(VLOOKUP($U$208,'TAR FIN'!$A$1:$O$88,15,0)),0,VLOOKUP($U$208,'TAR FIN'!$A$1:$O$88,15,0))</f>
        <v>0</v>
      </c>
      <c r="Y208" s="58">
        <f ca="1">('TUSD BE'!$AM$10+'TUSD BF'!$AM$10+'TUSD CVA'!$AM$10)*1*(1-0.03)</f>
        <v>36.590194568948981</v>
      </c>
      <c r="Z208" s="58"/>
      <c r="AA208" s="58"/>
      <c r="AB208" s="4">
        <f>$K$208*$V$208</f>
        <v>972.33599999999979</v>
      </c>
      <c r="AC208" s="4">
        <f>$M$208*$W$208</f>
        <v>0</v>
      </c>
      <c r="AD208" s="4">
        <f>$O$208*$X$208</f>
        <v>0</v>
      </c>
      <c r="AE208" s="4">
        <f ca="1">$K$208*$Y$208</f>
        <v>1097.7058370684695</v>
      </c>
      <c r="AF208" s="4">
        <f>$M$208*$Z$208</f>
        <v>0</v>
      </c>
      <c r="AG208" s="4">
        <f>$O$208*$AA$208</f>
        <v>0</v>
      </c>
    </row>
    <row r="209" spans="1:33" ht="11.25" customHeight="1" x14ac:dyDescent="0.25">
      <c r="A209" s="3" t="s">
        <v>21</v>
      </c>
      <c r="B209" s="3" t="s">
        <v>35</v>
      </c>
      <c r="C209" s="3" t="s">
        <v>39</v>
      </c>
      <c r="D209" s="3" t="s">
        <v>49</v>
      </c>
      <c r="E209" s="3" t="s">
        <v>50</v>
      </c>
      <c r="F209" s="3" t="s">
        <v>25</v>
      </c>
      <c r="G209" s="3" t="s">
        <v>25</v>
      </c>
      <c r="H209" s="3" t="s">
        <v>25</v>
      </c>
      <c r="I209" s="6">
        <v>44562</v>
      </c>
      <c r="J209" s="4">
        <v>78</v>
      </c>
      <c r="K209" s="59">
        <v>78</v>
      </c>
      <c r="L209" s="4">
        <v>0</v>
      </c>
      <c r="M209" s="58">
        <v>0</v>
      </c>
      <c r="N209" s="4">
        <v>0</v>
      </c>
      <c r="O209" s="58">
        <v>0</v>
      </c>
      <c r="P209" s="4">
        <v>1</v>
      </c>
      <c r="Q209" s="3" t="s">
        <v>26</v>
      </c>
      <c r="R209" s="3">
        <v>0</v>
      </c>
      <c r="S209" s="4">
        <v>46</v>
      </c>
      <c r="T209" s="4">
        <v>0</v>
      </c>
      <c r="U209" s="4">
        <v>0</v>
      </c>
      <c r="V209" s="58">
        <f>IF(ISERROR(VLOOKUP($S$209,'TAR FIN'!$A$1:$O$88,15,0)),0,VLOOKUP($S$209,'TAR FIN'!$A$1:$O$88,15,0))*(1-0.06)</f>
        <v>32.411199999999994</v>
      </c>
      <c r="W209" s="58">
        <f>IF(ISERROR(VLOOKUP($T$209,'TAR FIN'!$A$1:$O$88,15,0)),0,VLOOKUP($T$209,'TAR FIN'!$A$1:$O$88,15,0))</f>
        <v>0</v>
      </c>
      <c r="X209" s="58">
        <f>IF(ISERROR(VLOOKUP($U$209,'TAR FIN'!$A$1:$O$88,15,0)),0,VLOOKUP($U$209,'TAR FIN'!$A$1:$O$88,15,0))</f>
        <v>0</v>
      </c>
      <c r="Y209" s="58">
        <f ca="1">('TUSD BE'!$AM$10+'TUSD BF'!$AM$10+'TUSD CVA'!$AM$10)*1*(1-0.03)</f>
        <v>36.590194568948981</v>
      </c>
      <c r="Z209" s="58"/>
      <c r="AA209" s="58"/>
      <c r="AB209" s="4">
        <f>$K$209*$V$209</f>
        <v>2528.0735999999997</v>
      </c>
      <c r="AC209" s="4">
        <f>$M$209*$W$209</f>
        <v>0</v>
      </c>
      <c r="AD209" s="4">
        <f>$O$209*$X$209</f>
        <v>0</v>
      </c>
      <c r="AE209" s="4">
        <f ca="1">$K$209*$Y$209</f>
        <v>2854.0351763780204</v>
      </c>
      <c r="AF209" s="4">
        <f>$M$209*$Z$209</f>
        <v>0</v>
      </c>
      <c r="AG209" s="4">
        <f>$O$209*$AA$209</f>
        <v>0</v>
      </c>
    </row>
    <row r="210" spans="1:33" ht="11.25" customHeight="1" x14ac:dyDescent="0.25">
      <c r="A210" s="3" t="s">
        <v>21</v>
      </c>
      <c r="B210" s="3" t="s">
        <v>35</v>
      </c>
      <c r="C210" s="3" t="s">
        <v>39</v>
      </c>
      <c r="D210" s="3" t="s">
        <v>49</v>
      </c>
      <c r="E210" s="3" t="s">
        <v>50</v>
      </c>
      <c r="F210" s="3" t="s">
        <v>25</v>
      </c>
      <c r="G210" s="3" t="s">
        <v>25</v>
      </c>
      <c r="H210" s="3" t="s">
        <v>25</v>
      </c>
      <c r="I210" s="6">
        <v>44593</v>
      </c>
      <c r="J210" s="4">
        <v>78</v>
      </c>
      <c r="K210" s="59">
        <v>78</v>
      </c>
      <c r="L210" s="4">
        <v>0</v>
      </c>
      <c r="M210" s="58">
        <v>0</v>
      </c>
      <c r="N210" s="4">
        <v>0</v>
      </c>
      <c r="O210" s="58">
        <v>0</v>
      </c>
      <c r="P210" s="4">
        <v>1</v>
      </c>
      <c r="Q210" s="3" t="s">
        <v>26</v>
      </c>
      <c r="R210" s="3">
        <v>0</v>
      </c>
      <c r="S210" s="4">
        <v>46</v>
      </c>
      <c r="T210" s="4">
        <v>0</v>
      </c>
      <c r="U210" s="4">
        <v>0</v>
      </c>
      <c r="V210" s="58">
        <f>IF(ISERROR(VLOOKUP($S$210,'TAR FIN'!$A$1:$O$88,15,0)),0,VLOOKUP($S$210,'TAR FIN'!$A$1:$O$88,15,0))*(1-0.06)</f>
        <v>32.411199999999994</v>
      </c>
      <c r="W210" s="58">
        <f>IF(ISERROR(VLOOKUP($T$210,'TAR FIN'!$A$1:$O$88,15,0)),0,VLOOKUP($T$210,'TAR FIN'!$A$1:$O$88,15,0))</f>
        <v>0</v>
      </c>
      <c r="X210" s="58">
        <f>IF(ISERROR(VLOOKUP($U$210,'TAR FIN'!$A$1:$O$88,15,0)),0,VLOOKUP($U$210,'TAR FIN'!$A$1:$O$88,15,0))</f>
        <v>0</v>
      </c>
      <c r="Y210" s="58">
        <f ca="1">('TUSD BE'!$AM$10+'TUSD BF'!$AM$10+'TUSD CVA'!$AM$10)*1*(1-0.03)</f>
        <v>36.590194568948981</v>
      </c>
      <c r="Z210" s="58"/>
      <c r="AA210" s="58"/>
      <c r="AB210" s="4">
        <f>$K$210*$V$210</f>
        <v>2528.0735999999997</v>
      </c>
      <c r="AC210" s="4">
        <f>$M$210*$W$210</f>
        <v>0</v>
      </c>
      <c r="AD210" s="4">
        <f>$O$210*$X$210</f>
        <v>0</v>
      </c>
      <c r="AE210" s="4">
        <f ca="1">$K$210*$Y$210</f>
        <v>2854.0351763780204</v>
      </c>
      <c r="AF210" s="4">
        <f>$M$210*$Z$210</f>
        <v>0</v>
      </c>
      <c r="AG210" s="4">
        <f>$O$210*$AA$210</f>
        <v>0</v>
      </c>
    </row>
    <row r="211" spans="1:33" ht="11.25" customHeight="1" x14ac:dyDescent="0.25">
      <c r="A211" s="3" t="s">
        <v>21</v>
      </c>
      <c r="B211" s="3" t="s">
        <v>35</v>
      </c>
      <c r="C211" s="3" t="s">
        <v>39</v>
      </c>
      <c r="D211" s="3" t="s">
        <v>49</v>
      </c>
      <c r="E211" s="3" t="s">
        <v>50</v>
      </c>
      <c r="F211" s="3" t="s">
        <v>25</v>
      </c>
      <c r="G211" s="3" t="s">
        <v>25</v>
      </c>
      <c r="H211" s="3" t="s">
        <v>25</v>
      </c>
      <c r="I211" s="6">
        <v>44621</v>
      </c>
      <c r="J211" s="4">
        <v>78</v>
      </c>
      <c r="K211" s="59">
        <v>78</v>
      </c>
      <c r="L211" s="4">
        <v>0</v>
      </c>
      <c r="M211" s="58">
        <v>0</v>
      </c>
      <c r="N211" s="4">
        <v>0</v>
      </c>
      <c r="O211" s="58">
        <v>0</v>
      </c>
      <c r="P211" s="4">
        <v>1</v>
      </c>
      <c r="Q211" s="3" t="s">
        <v>26</v>
      </c>
      <c r="R211" s="3">
        <v>0</v>
      </c>
      <c r="S211" s="4">
        <v>46</v>
      </c>
      <c r="T211" s="4">
        <v>0</v>
      </c>
      <c r="U211" s="4">
        <v>0</v>
      </c>
      <c r="V211" s="58">
        <f>IF(ISERROR(VLOOKUP($S$211,'TAR FIN'!$A$1:$O$88,15,0)),0,VLOOKUP($S$211,'TAR FIN'!$A$1:$O$88,15,0))*(1-0.06)</f>
        <v>32.411199999999994</v>
      </c>
      <c r="W211" s="58">
        <f>IF(ISERROR(VLOOKUP($T$211,'TAR FIN'!$A$1:$O$88,15,0)),0,VLOOKUP($T$211,'TAR FIN'!$A$1:$O$88,15,0))</f>
        <v>0</v>
      </c>
      <c r="X211" s="58">
        <f>IF(ISERROR(VLOOKUP($U$211,'TAR FIN'!$A$1:$O$88,15,0)),0,VLOOKUP($U$211,'TAR FIN'!$A$1:$O$88,15,0))</f>
        <v>0</v>
      </c>
      <c r="Y211" s="58">
        <f ca="1">('TUSD BE'!$AM$10+'TUSD BF'!$AM$10+'TUSD CVA'!$AM$10)*1*(1-0.03)</f>
        <v>36.590194568948981</v>
      </c>
      <c r="Z211" s="58"/>
      <c r="AA211" s="58"/>
      <c r="AB211" s="4">
        <f>$K$211*$V$211</f>
        <v>2528.0735999999997</v>
      </c>
      <c r="AC211" s="4">
        <f>$M$211*$W$211</f>
        <v>0</v>
      </c>
      <c r="AD211" s="4">
        <f>$O$211*$X$211</f>
        <v>0</v>
      </c>
      <c r="AE211" s="4">
        <f ca="1">$K$211*$Y$211</f>
        <v>2854.0351763780204</v>
      </c>
      <c r="AF211" s="4">
        <f>$M$211*$Z$211</f>
        <v>0</v>
      </c>
      <c r="AG211" s="4">
        <f>$O$211*$AA$211</f>
        <v>0</v>
      </c>
    </row>
    <row r="212" spans="1:33" ht="11.25" customHeight="1" x14ac:dyDescent="0.25">
      <c r="A212" s="3" t="s">
        <v>21</v>
      </c>
      <c r="B212" s="3" t="s">
        <v>35</v>
      </c>
      <c r="C212" s="3" t="s">
        <v>39</v>
      </c>
      <c r="D212" s="3" t="s">
        <v>49</v>
      </c>
      <c r="E212" s="3" t="s">
        <v>50</v>
      </c>
      <c r="F212" s="3" t="s">
        <v>25</v>
      </c>
      <c r="G212" s="3" t="s">
        <v>25</v>
      </c>
      <c r="H212" s="3" t="s">
        <v>25</v>
      </c>
      <c r="I212" s="6">
        <v>44652</v>
      </c>
      <c r="J212" s="4">
        <v>78</v>
      </c>
      <c r="K212" s="59">
        <v>78</v>
      </c>
      <c r="L212" s="4">
        <v>0</v>
      </c>
      <c r="M212" s="58">
        <v>0</v>
      </c>
      <c r="N212" s="4">
        <v>0</v>
      </c>
      <c r="O212" s="58">
        <v>0</v>
      </c>
      <c r="P212" s="4">
        <v>1</v>
      </c>
      <c r="Q212" s="3" t="s">
        <v>26</v>
      </c>
      <c r="R212" s="3">
        <v>0</v>
      </c>
      <c r="S212" s="4">
        <v>46</v>
      </c>
      <c r="T212" s="4">
        <v>0</v>
      </c>
      <c r="U212" s="4">
        <v>0</v>
      </c>
      <c r="V212" s="58">
        <f>IF(ISERROR(VLOOKUP($S$212,'TAR FIN'!$A$1:$O$88,15,0)),0,VLOOKUP($S$212,'TAR FIN'!$A$1:$O$88,15,0))*(1-0.06)</f>
        <v>32.411199999999994</v>
      </c>
      <c r="W212" s="58">
        <f>IF(ISERROR(VLOOKUP($T$212,'TAR FIN'!$A$1:$O$88,15,0)),0,VLOOKUP($T$212,'TAR FIN'!$A$1:$O$88,15,0))</f>
        <v>0</v>
      </c>
      <c r="X212" s="58">
        <f>IF(ISERROR(VLOOKUP($U$212,'TAR FIN'!$A$1:$O$88,15,0)),0,VLOOKUP($U$212,'TAR FIN'!$A$1:$O$88,15,0))</f>
        <v>0</v>
      </c>
      <c r="Y212" s="58">
        <f ca="1">('TUSD BE'!$AM$10+'TUSD BF'!$AM$10+'TUSD CVA'!$AM$10)*1*(1-0.03)</f>
        <v>36.590194568948981</v>
      </c>
      <c r="Z212" s="58"/>
      <c r="AA212" s="58"/>
      <c r="AB212" s="4">
        <f>$K$212*$V$212</f>
        <v>2528.0735999999997</v>
      </c>
      <c r="AC212" s="4">
        <f>$M$212*$W$212</f>
        <v>0</v>
      </c>
      <c r="AD212" s="4">
        <f>$O$212*$X$212</f>
        <v>0</v>
      </c>
      <c r="AE212" s="4">
        <f ca="1">$K$212*$Y$212</f>
        <v>2854.0351763780204</v>
      </c>
      <c r="AF212" s="4">
        <f>$M$212*$Z$212</f>
        <v>0</v>
      </c>
      <c r="AG212" s="4">
        <f>$O$212*$AA$212</f>
        <v>0</v>
      </c>
    </row>
    <row r="213" spans="1:33" ht="11.25" customHeight="1" x14ac:dyDescent="0.25">
      <c r="A213" s="3" t="s">
        <v>21</v>
      </c>
      <c r="B213" s="3" t="s">
        <v>35</v>
      </c>
      <c r="C213" s="3" t="s">
        <v>39</v>
      </c>
      <c r="D213" s="3" t="s">
        <v>49</v>
      </c>
      <c r="E213" s="3" t="s">
        <v>50</v>
      </c>
      <c r="F213" s="3" t="s">
        <v>25</v>
      </c>
      <c r="G213" s="3" t="s">
        <v>25</v>
      </c>
      <c r="H213" s="3" t="s">
        <v>25</v>
      </c>
      <c r="I213" s="6">
        <v>44682</v>
      </c>
      <c r="J213" s="4">
        <v>78</v>
      </c>
      <c r="K213" s="59">
        <v>78</v>
      </c>
      <c r="L213" s="4">
        <v>0</v>
      </c>
      <c r="M213" s="58">
        <v>0</v>
      </c>
      <c r="N213" s="4">
        <v>0</v>
      </c>
      <c r="O213" s="58">
        <v>0</v>
      </c>
      <c r="P213" s="4">
        <v>1</v>
      </c>
      <c r="Q213" s="3" t="s">
        <v>26</v>
      </c>
      <c r="R213" s="3">
        <v>0</v>
      </c>
      <c r="S213" s="4">
        <v>46</v>
      </c>
      <c r="T213" s="4">
        <v>0</v>
      </c>
      <c r="U213" s="4">
        <v>0</v>
      </c>
      <c r="V213" s="58">
        <f>IF(ISERROR(VLOOKUP($S$213,'TAR FIN'!$A$1:$O$88,15,0)),0,VLOOKUP($S$213,'TAR FIN'!$A$1:$O$88,15,0))*(1-0.06)</f>
        <v>32.411199999999994</v>
      </c>
      <c r="W213" s="58">
        <f>IF(ISERROR(VLOOKUP($T$213,'TAR FIN'!$A$1:$O$88,15,0)),0,VLOOKUP($T$213,'TAR FIN'!$A$1:$O$88,15,0))</f>
        <v>0</v>
      </c>
      <c r="X213" s="58">
        <f>IF(ISERROR(VLOOKUP($U$213,'TAR FIN'!$A$1:$O$88,15,0)),0,VLOOKUP($U$213,'TAR FIN'!$A$1:$O$88,15,0))</f>
        <v>0</v>
      </c>
      <c r="Y213" s="58">
        <f ca="1">('TUSD BE'!$AM$10+'TUSD BF'!$AM$10+'TUSD CVA'!$AM$10)*1*(1-0.03)</f>
        <v>36.590194568948981</v>
      </c>
      <c r="Z213" s="58"/>
      <c r="AA213" s="58"/>
      <c r="AB213" s="4">
        <f>$K$213*$V$213</f>
        <v>2528.0735999999997</v>
      </c>
      <c r="AC213" s="4">
        <f>$M$213*$W$213</f>
        <v>0</v>
      </c>
      <c r="AD213" s="4">
        <f>$O$213*$X$213</f>
        <v>0</v>
      </c>
      <c r="AE213" s="4">
        <f ca="1">$K$213*$Y$213</f>
        <v>2854.0351763780204</v>
      </c>
      <c r="AF213" s="4">
        <f>$M$213*$Z$213</f>
        <v>0</v>
      </c>
      <c r="AG213" s="4">
        <f>$O$213*$AA$213</f>
        <v>0</v>
      </c>
    </row>
    <row r="214" spans="1:33" ht="11.25" customHeight="1" x14ac:dyDescent="0.25">
      <c r="A214" s="3" t="s">
        <v>21</v>
      </c>
      <c r="B214" s="3" t="s">
        <v>35</v>
      </c>
      <c r="C214" s="3" t="s">
        <v>39</v>
      </c>
      <c r="D214" s="3" t="s">
        <v>49</v>
      </c>
      <c r="E214" s="3" t="s">
        <v>50</v>
      </c>
      <c r="F214" s="3" t="s">
        <v>25</v>
      </c>
      <c r="G214" s="3" t="s">
        <v>25</v>
      </c>
      <c r="H214" s="3" t="s">
        <v>25</v>
      </c>
      <c r="I214" s="6">
        <v>44713</v>
      </c>
      <c r="J214" s="4">
        <v>78</v>
      </c>
      <c r="K214" s="59">
        <v>78</v>
      </c>
      <c r="L214" s="4">
        <v>0</v>
      </c>
      <c r="M214" s="58">
        <v>0</v>
      </c>
      <c r="N214" s="4">
        <v>0</v>
      </c>
      <c r="O214" s="58">
        <v>0</v>
      </c>
      <c r="P214" s="4">
        <v>1</v>
      </c>
      <c r="Q214" s="3" t="s">
        <v>26</v>
      </c>
      <c r="R214" s="3">
        <v>0</v>
      </c>
      <c r="S214" s="4">
        <v>46</v>
      </c>
      <c r="T214" s="4">
        <v>0</v>
      </c>
      <c r="U214" s="4">
        <v>0</v>
      </c>
      <c r="V214" s="58">
        <f>IF(ISERROR(VLOOKUP($S$214,'TAR FIN'!$A$1:$O$88,15,0)),0,VLOOKUP($S$214,'TAR FIN'!$A$1:$O$88,15,0))*(1-0.06)</f>
        <v>32.411199999999994</v>
      </c>
      <c r="W214" s="58">
        <f>IF(ISERROR(VLOOKUP($T$214,'TAR FIN'!$A$1:$O$88,15,0)),0,VLOOKUP($T$214,'TAR FIN'!$A$1:$O$88,15,0))</f>
        <v>0</v>
      </c>
      <c r="X214" s="58">
        <f>IF(ISERROR(VLOOKUP($U$214,'TAR FIN'!$A$1:$O$88,15,0)),0,VLOOKUP($U$214,'TAR FIN'!$A$1:$O$88,15,0))</f>
        <v>0</v>
      </c>
      <c r="Y214" s="58">
        <f ca="1">('TUSD BE'!$AM$10+'TUSD BF'!$AM$10+'TUSD CVA'!$AM$10)*1*(1-0.03)</f>
        <v>36.590194568948981</v>
      </c>
      <c r="Z214" s="58"/>
      <c r="AA214" s="58"/>
      <c r="AB214" s="4">
        <f>$K$214*$V$214</f>
        <v>2528.0735999999997</v>
      </c>
      <c r="AC214" s="4">
        <f>$M$214*$W$214</f>
        <v>0</v>
      </c>
      <c r="AD214" s="4">
        <f>$O$214*$X$214</f>
        <v>0</v>
      </c>
      <c r="AE214" s="4">
        <f ca="1">$K$214*$Y$214</f>
        <v>2854.0351763780204</v>
      </c>
      <c r="AF214" s="4">
        <f>$M$214*$Z$214</f>
        <v>0</v>
      </c>
      <c r="AG214" s="4">
        <f>$O$214*$AA$214</f>
        <v>0</v>
      </c>
    </row>
    <row r="215" spans="1:33" ht="11.25" customHeight="1" x14ac:dyDescent="0.25">
      <c r="A215" s="3" t="s">
        <v>21</v>
      </c>
      <c r="B215" s="3" t="s">
        <v>35</v>
      </c>
      <c r="C215" s="3" t="s">
        <v>39</v>
      </c>
      <c r="D215" s="3" t="s">
        <v>49</v>
      </c>
      <c r="E215" s="3" t="s">
        <v>50</v>
      </c>
      <c r="F215" s="3" t="s">
        <v>25</v>
      </c>
      <c r="G215" s="3" t="s">
        <v>25</v>
      </c>
      <c r="H215" s="3" t="s">
        <v>25</v>
      </c>
      <c r="I215" s="6">
        <v>44743</v>
      </c>
      <c r="J215" s="4">
        <v>78</v>
      </c>
      <c r="K215" s="59">
        <v>78</v>
      </c>
      <c r="L215" s="4">
        <v>0</v>
      </c>
      <c r="M215" s="58">
        <v>0</v>
      </c>
      <c r="N215" s="4">
        <v>0</v>
      </c>
      <c r="O215" s="58">
        <v>0</v>
      </c>
      <c r="P215" s="4">
        <v>1</v>
      </c>
      <c r="Q215" s="3" t="s">
        <v>26</v>
      </c>
      <c r="R215" s="3">
        <v>0</v>
      </c>
      <c r="S215" s="4">
        <v>46</v>
      </c>
      <c r="T215" s="4">
        <v>0</v>
      </c>
      <c r="U215" s="4">
        <v>0</v>
      </c>
      <c r="V215" s="58">
        <f>IF(ISERROR(VLOOKUP($S$215,'TAR FIN'!$A$1:$O$88,15,0)),0,VLOOKUP($S$215,'TAR FIN'!$A$1:$O$88,15,0))*(1-0.06)</f>
        <v>32.411199999999994</v>
      </c>
      <c r="W215" s="58">
        <f>IF(ISERROR(VLOOKUP($T$215,'TAR FIN'!$A$1:$O$88,15,0)),0,VLOOKUP($T$215,'TAR FIN'!$A$1:$O$88,15,0))</f>
        <v>0</v>
      </c>
      <c r="X215" s="58">
        <f>IF(ISERROR(VLOOKUP($U$215,'TAR FIN'!$A$1:$O$88,15,0)),0,VLOOKUP($U$215,'TAR FIN'!$A$1:$O$88,15,0))</f>
        <v>0</v>
      </c>
      <c r="Y215" s="58">
        <f ca="1">('TUSD BE'!$AM$10+'TUSD BF'!$AM$10+'TUSD CVA'!$AM$10)*1*(1-0.03)</f>
        <v>36.590194568948981</v>
      </c>
      <c r="Z215" s="58"/>
      <c r="AA215" s="58"/>
      <c r="AB215" s="4">
        <f>$K$215*$V$215</f>
        <v>2528.0735999999997</v>
      </c>
      <c r="AC215" s="4">
        <f>$M$215*$W$215</f>
        <v>0</v>
      </c>
      <c r="AD215" s="4">
        <f>$O$215*$X$215</f>
        <v>0</v>
      </c>
      <c r="AE215" s="4">
        <f ca="1">$K$215*$Y$215</f>
        <v>2854.0351763780204</v>
      </c>
      <c r="AF215" s="4">
        <f>$M$215*$Z$215</f>
        <v>0</v>
      </c>
      <c r="AG215" s="4">
        <f>$O$215*$AA$215</f>
        <v>0</v>
      </c>
    </row>
    <row r="216" spans="1:33" ht="11.25" customHeight="1" x14ac:dyDescent="0.25">
      <c r="A216" s="3" t="s">
        <v>55</v>
      </c>
      <c r="B216" s="3" t="s">
        <v>35</v>
      </c>
      <c r="C216" s="3" t="s">
        <v>39</v>
      </c>
      <c r="D216" s="3" t="s">
        <v>49</v>
      </c>
      <c r="E216" s="3" t="s">
        <v>50</v>
      </c>
      <c r="F216" s="3" t="s">
        <v>25</v>
      </c>
      <c r="G216" s="3" t="s">
        <v>25</v>
      </c>
      <c r="H216" s="3" t="s">
        <v>25</v>
      </c>
      <c r="I216" s="6">
        <v>44774</v>
      </c>
      <c r="J216" s="4">
        <v>78</v>
      </c>
      <c r="K216" s="59">
        <v>78</v>
      </c>
      <c r="L216" s="4">
        <v>0</v>
      </c>
      <c r="M216" s="58">
        <v>0</v>
      </c>
      <c r="N216" s="4">
        <v>0</v>
      </c>
      <c r="O216" s="58">
        <v>0</v>
      </c>
      <c r="P216" s="4">
        <v>1</v>
      </c>
      <c r="Q216" s="3" t="s">
        <v>26</v>
      </c>
      <c r="R216" s="3">
        <v>0</v>
      </c>
      <c r="S216" s="4">
        <v>46</v>
      </c>
      <c r="T216" s="4">
        <v>0</v>
      </c>
      <c r="U216" s="4">
        <v>0</v>
      </c>
      <c r="V216" s="58">
        <f>IF(ISERROR(VLOOKUP($S$216,'TAR FIN'!$A$1:$O$88,15,0)),0,VLOOKUP($S$216,'TAR FIN'!$A$1:$O$88,15,0))*(1-0.06)</f>
        <v>32.411199999999994</v>
      </c>
      <c r="W216" s="58">
        <f>IF(ISERROR(VLOOKUP($T$216,'TAR FIN'!$A$1:$O$88,15,0)),0,VLOOKUP($T$216,'TAR FIN'!$A$1:$O$88,15,0))</f>
        <v>0</v>
      </c>
      <c r="X216" s="58">
        <f>IF(ISERROR(VLOOKUP($U$216,'TAR FIN'!$A$1:$O$88,15,0)),0,VLOOKUP($U$216,'TAR FIN'!$A$1:$O$88,15,0))</f>
        <v>0</v>
      </c>
      <c r="Y216" s="58">
        <f ca="1">('TUSD BE'!$AM$10+'TUSD BF'!$AM$10+'TUSD CVA'!$AM$10)*1*(1-0.03)</f>
        <v>36.590194568948981</v>
      </c>
      <c r="Z216" s="58"/>
      <c r="AA216" s="58"/>
      <c r="AB216" s="4">
        <f>$K$216*$V$216</f>
        <v>2528.0735999999997</v>
      </c>
      <c r="AC216" s="4">
        <f>$M$216*$W$216</f>
        <v>0</v>
      </c>
      <c r="AD216" s="4">
        <f>$O$216*$X$216</f>
        <v>0</v>
      </c>
      <c r="AE216" s="4">
        <f ca="1">$K$216*$Y$216</f>
        <v>2854.0351763780204</v>
      </c>
      <c r="AF216" s="4">
        <f>$M$216*$Z$216</f>
        <v>0</v>
      </c>
      <c r="AG216" s="4">
        <f>$O$216*$AA$216</f>
        <v>0</v>
      </c>
    </row>
    <row r="217" spans="1:33" ht="11.25" customHeight="1" x14ac:dyDescent="0.25">
      <c r="A217" s="3" t="s">
        <v>21</v>
      </c>
      <c r="B217" s="3" t="s">
        <v>35</v>
      </c>
      <c r="C217" s="3" t="s">
        <v>39</v>
      </c>
      <c r="D217" s="3" t="s">
        <v>49</v>
      </c>
      <c r="E217" s="3" t="s">
        <v>50</v>
      </c>
      <c r="F217" s="3" t="s">
        <v>25</v>
      </c>
      <c r="G217" s="3" t="s">
        <v>25</v>
      </c>
      <c r="H217" s="3" t="s">
        <v>37</v>
      </c>
      <c r="I217" s="6">
        <v>44501</v>
      </c>
      <c r="J217" s="4">
        <v>0</v>
      </c>
      <c r="K217" s="58">
        <v>0</v>
      </c>
      <c r="L217" s="4">
        <v>0.57299999999999995</v>
      </c>
      <c r="M217" s="58">
        <v>0.57299999999999995</v>
      </c>
      <c r="N217" s="4">
        <v>0.57299999999999995</v>
      </c>
      <c r="O217" s="58">
        <v>0.57299999999999995</v>
      </c>
      <c r="P217" s="4">
        <v>0</v>
      </c>
      <c r="Q217" s="3" t="s">
        <v>26</v>
      </c>
      <c r="R217" s="3">
        <v>0</v>
      </c>
      <c r="S217" s="4">
        <v>0</v>
      </c>
      <c r="T217" s="4">
        <v>35</v>
      </c>
      <c r="U217" s="4">
        <v>70</v>
      </c>
      <c r="V217" s="58">
        <f>IF(ISERROR(VLOOKUP($S$217,'TAR FIN'!$A$1:$O$88,15,0)),0,VLOOKUP($S$217,'TAR FIN'!$A$1:$O$88,15,0))</f>
        <v>0</v>
      </c>
      <c r="W217" s="58">
        <f>IF(ISERROR(VLOOKUP($T$217,'TAR FIN'!$A$1:$O$88,15,0)),0,VLOOKUP($T$217,'TAR FIN'!$A$1:$O$88,15,0))*(1-0.06)</f>
        <v>2515.5903999999996</v>
      </c>
      <c r="X217" s="58">
        <f>IF(ISERROR(VLOOKUP($U$217,'TAR FIN'!$A$1:$O$88,15,0)),0,VLOOKUP($U$217,'TAR FIN'!$A$1:$O$88,15,0))*(1-0.06)</f>
        <v>141.24439999999998</v>
      </c>
      <c r="Y217" s="58"/>
      <c r="Z217" s="58">
        <f ca="1">('TUSD BE'!$AM$11+'TUSD BF'!$AM$11+'TUSD CVA'!$AM$11)*1*(1-0.03)</f>
        <v>2547.8791355819558</v>
      </c>
      <c r="AA217" s="58">
        <f>('TE BE'!$AB$5+'TE BF'!$AB$5+'TE CVA'!$AB$5)*1*(1-0.03)</f>
        <v>132.52397739539686</v>
      </c>
      <c r="AB217" s="4">
        <f>$K$217*$V$217</f>
        <v>0</v>
      </c>
      <c r="AC217" s="4">
        <f>$M$217*$W$217</f>
        <v>1441.4332991999997</v>
      </c>
      <c r="AD217" s="4">
        <f>$O$217*$X$217</f>
        <v>80.933041199999991</v>
      </c>
      <c r="AE217" s="4">
        <f>$K$217*$Y$217</f>
        <v>0</v>
      </c>
      <c r="AF217" s="4">
        <f ca="1">$M$217*$Z$217</f>
        <v>1459.9347446884606</v>
      </c>
      <c r="AG217" s="4">
        <f>$O$217*$AA$217</f>
        <v>75.936239047562395</v>
      </c>
    </row>
    <row r="218" spans="1:33" ht="11.25" customHeight="1" x14ac:dyDescent="0.25">
      <c r="A218" s="3" t="s">
        <v>21</v>
      </c>
      <c r="B218" s="3" t="s">
        <v>35</v>
      </c>
      <c r="C218" s="3" t="s">
        <v>39</v>
      </c>
      <c r="D218" s="3" t="s">
        <v>49</v>
      </c>
      <c r="E218" s="3" t="s">
        <v>50</v>
      </c>
      <c r="F218" s="3" t="s">
        <v>25</v>
      </c>
      <c r="G218" s="3" t="s">
        <v>25</v>
      </c>
      <c r="H218" s="3" t="s">
        <v>37</v>
      </c>
      <c r="I218" s="6">
        <v>44531</v>
      </c>
      <c r="J218" s="4">
        <v>0</v>
      </c>
      <c r="K218" s="58">
        <v>0</v>
      </c>
      <c r="L218" s="4">
        <v>0.40400000000000003</v>
      </c>
      <c r="M218" s="58">
        <v>0.40400000000000003</v>
      </c>
      <c r="N218" s="4">
        <v>0.40400000000000003</v>
      </c>
      <c r="O218" s="58">
        <v>0.40400000000000003</v>
      </c>
      <c r="P218" s="4">
        <v>0</v>
      </c>
      <c r="Q218" s="3" t="s">
        <v>26</v>
      </c>
      <c r="R218" s="3">
        <v>0</v>
      </c>
      <c r="S218" s="4">
        <v>0</v>
      </c>
      <c r="T218" s="4">
        <v>35</v>
      </c>
      <c r="U218" s="4">
        <v>70</v>
      </c>
      <c r="V218" s="58">
        <f>IF(ISERROR(VLOOKUP($S$218,'TAR FIN'!$A$1:$O$88,15,0)),0,VLOOKUP($S$218,'TAR FIN'!$A$1:$O$88,15,0))</f>
        <v>0</v>
      </c>
      <c r="W218" s="58">
        <f>IF(ISERROR(VLOOKUP($T$218,'TAR FIN'!$A$1:$O$88,15,0)),0,VLOOKUP($T$218,'TAR FIN'!$A$1:$O$88,15,0))*(1-0.06)</f>
        <v>2515.5903999999996</v>
      </c>
      <c r="X218" s="58">
        <f>IF(ISERROR(VLOOKUP($U$218,'TAR FIN'!$A$1:$O$88,15,0)),0,VLOOKUP($U$218,'TAR FIN'!$A$1:$O$88,15,0))*(1-0.06)</f>
        <v>141.24439999999998</v>
      </c>
      <c r="Y218" s="58"/>
      <c r="Z218" s="58">
        <f ca="1">('TUSD BE'!$AM$11+'TUSD BF'!$AM$11+'TUSD CVA'!$AM$11)*1*(1-0.03)</f>
        <v>2547.8791355819558</v>
      </c>
      <c r="AA218" s="58">
        <f>('TE BE'!$AB$5+'TE BF'!$AB$5+'TE CVA'!$AB$5)*1*(1-0.03)</f>
        <v>132.52397739539686</v>
      </c>
      <c r="AB218" s="4">
        <f>$K$218*$V$218</f>
        <v>0</v>
      </c>
      <c r="AC218" s="4">
        <f>$M$218*$W$218</f>
        <v>1016.2985215999998</v>
      </c>
      <c r="AD218" s="4">
        <f>$O$218*$X$218</f>
        <v>57.062737599999998</v>
      </c>
      <c r="AE218" s="4">
        <f>$K$218*$Y$218</f>
        <v>0</v>
      </c>
      <c r="AF218" s="4">
        <f ca="1">$M$218*$Z$218</f>
        <v>1029.3431707751101</v>
      </c>
      <c r="AG218" s="4">
        <f>$O$218*$AA$218</f>
        <v>53.539686867740336</v>
      </c>
    </row>
    <row r="219" spans="1:33" ht="11.25" customHeight="1" x14ac:dyDescent="0.25">
      <c r="A219" s="3" t="s">
        <v>21</v>
      </c>
      <c r="B219" s="3" t="s">
        <v>35</v>
      </c>
      <c r="C219" s="3" t="s">
        <v>39</v>
      </c>
      <c r="D219" s="3" t="s">
        <v>49</v>
      </c>
      <c r="E219" s="3" t="s">
        <v>50</v>
      </c>
      <c r="F219" s="3" t="s">
        <v>25</v>
      </c>
      <c r="G219" s="3" t="s">
        <v>25</v>
      </c>
      <c r="H219" s="3" t="s">
        <v>37</v>
      </c>
      <c r="I219" s="6">
        <v>44562</v>
      </c>
      <c r="J219" s="4">
        <v>0</v>
      </c>
      <c r="K219" s="58">
        <v>0</v>
      </c>
      <c r="L219" s="4">
        <v>0.48099999999999998</v>
      </c>
      <c r="M219" s="58">
        <v>0.48099999999999998</v>
      </c>
      <c r="N219" s="4">
        <v>0.48099999999999998</v>
      </c>
      <c r="O219" s="58">
        <v>0.48099999999999998</v>
      </c>
      <c r="P219" s="4">
        <v>0</v>
      </c>
      <c r="Q219" s="3" t="s">
        <v>26</v>
      </c>
      <c r="R219" s="3">
        <v>0</v>
      </c>
      <c r="S219" s="4">
        <v>0</v>
      </c>
      <c r="T219" s="4">
        <v>35</v>
      </c>
      <c r="U219" s="4">
        <v>70</v>
      </c>
      <c r="V219" s="58">
        <f>IF(ISERROR(VLOOKUP($S$219,'TAR FIN'!$A$1:$O$88,15,0)),0,VLOOKUP($S$219,'TAR FIN'!$A$1:$O$88,15,0))</f>
        <v>0</v>
      </c>
      <c r="W219" s="58">
        <f>IF(ISERROR(VLOOKUP($T$219,'TAR FIN'!$A$1:$O$88,15,0)),0,VLOOKUP($T$219,'TAR FIN'!$A$1:$O$88,15,0))*(1-0.06)</f>
        <v>2515.5903999999996</v>
      </c>
      <c r="X219" s="58">
        <f>IF(ISERROR(VLOOKUP($U$219,'TAR FIN'!$A$1:$O$88,15,0)),0,VLOOKUP($U$219,'TAR FIN'!$A$1:$O$88,15,0))*(1-0.06)</f>
        <v>141.24439999999998</v>
      </c>
      <c r="Y219" s="58"/>
      <c r="Z219" s="58">
        <f ca="1">('TUSD BE'!$AM$11+'TUSD BF'!$AM$11+'TUSD CVA'!$AM$11)*1*(1-0.03)</f>
        <v>2547.8791355819558</v>
      </c>
      <c r="AA219" s="58">
        <f>('TE BE'!$AB$5+'TE BF'!$AB$5+'TE CVA'!$AB$5)*1*(1-0.03)</f>
        <v>132.52397739539686</v>
      </c>
      <c r="AB219" s="4">
        <f>$K$219*$V$219</f>
        <v>0</v>
      </c>
      <c r="AC219" s="4">
        <f>$M$219*$W$219</f>
        <v>1209.9989823999997</v>
      </c>
      <c r="AD219" s="4">
        <f>$O$219*$X$219</f>
        <v>67.938556399999996</v>
      </c>
      <c r="AE219" s="4">
        <f>$K$219*$Y$219</f>
        <v>0</v>
      </c>
      <c r="AF219" s="4">
        <f ca="1">$M$219*$Z$219</f>
        <v>1225.5298642149207</v>
      </c>
      <c r="AG219" s="4">
        <f>$O$219*$AA$219</f>
        <v>63.744033127185887</v>
      </c>
    </row>
    <row r="220" spans="1:33" ht="11.25" customHeight="1" x14ac:dyDescent="0.25">
      <c r="A220" s="3" t="s">
        <v>21</v>
      </c>
      <c r="B220" s="3" t="s">
        <v>35</v>
      </c>
      <c r="C220" s="3" t="s">
        <v>39</v>
      </c>
      <c r="D220" s="3" t="s">
        <v>49</v>
      </c>
      <c r="E220" s="3" t="s">
        <v>50</v>
      </c>
      <c r="F220" s="3" t="s">
        <v>25</v>
      </c>
      <c r="G220" s="3" t="s">
        <v>25</v>
      </c>
      <c r="H220" s="3" t="s">
        <v>37</v>
      </c>
      <c r="I220" s="6">
        <v>44593</v>
      </c>
      <c r="J220" s="4">
        <v>0</v>
      </c>
      <c r="K220" s="58">
        <v>0</v>
      </c>
      <c r="L220" s="4">
        <v>0.42699999999999999</v>
      </c>
      <c r="M220" s="58">
        <v>0.42699999999999999</v>
      </c>
      <c r="N220" s="4">
        <v>0.42699999999999999</v>
      </c>
      <c r="O220" s="58">
        <v>0.42699999999999999</v>
      </c>
      <c r="P220" s="4">
        <v>0</v>
      </c>
      <c r="Q220" s="3" t="s">
        <v>26</v>
      </c>
      <c r="R220" s="3">
        <v>0</v>
      </c>
      <c r="S220" s="4">
        <v>0</v>
      </c>
      <c r="T220" s="4">
        <v>35</v>
      </c>
      <c r="U220" s="4">
        <v>70</v>
      </c>
      <c r="V220" s="58">
        <f>IF(ISERROR(VLOOKUP($S$220,'TAR FIN'!$A$1:$O$88,15,0)),0,VLOOKUP($S$220,'TAR FIN'!$A$1:$O$88,15,0))</f>
        <v>0</v>
      </c>
      <c r="W220" s="58">
        <f>IF(ISERROR(VLOOKUP($T$220,'TAR FIN'!$A$1:$O$88,15,0)),0,VLOOKUP($T$220,'TAR FIN'!$A$1:$O$88,15,0))*(1-0.06)</f>
        <v>2515.5903999999996</v>
      </c>
      <c r="X220" s="58">
        <f>IF(ISERROR(VLOOKUP($U$220,'TAR FIN'!$A$1:$O$88,15,0)),0,VLOOKUP($U$220,'TAR FIN'!$A$1:$O$88,15,0))*(1-0.06)</f>
        <v>141.24439999999998</v>
      </c>
      <c r="Y220" s="58"/>
      <c r="Z220" s="58">
        <f ca="1">('TUSD BE'!$AM$11+'TUSD BF'!$AM$11+'TUSD CVA'!$AM$11)*1*(1-0.03)</f>
        <v>2547.8791355819558</v>
      </c>
      <c r="AA220" s="58">
        <f>('TE BE'!$AB$5+'TE BF'!$AB$5+'TE CVA'!$AB$5)*1*(1-0.03)</f>
        <v>132.52397739539686</v>
      </c>
      <c r="AB220" s="4">
        <f>$K$220*$V$220</f>
        <v>0</v>
      </c>
      <c r="AC220" s="4">
        <f>$M$220*$W$220</f>
        <v>1074.1571007999999</v>
      </c>
      <c r="AD220" s="4">
        <f>$O$220*$X$220</f>
        <v>60.311358799999994</v>
      </c>
      <c r="AE220" s="4">
        <f>$K$220*$Y$220</f>
        <v>0</v>
      </c>
      <c r="AF220" s="4">
        <f ca="1">$M$220*$Z$220</f>
        <v>1087.944390893495</v>
      </c>
      <c r="AG220" s="4">
        <f>$O$220*$AA$220</f>
        <v>56.587738347834453</v>
      </c>
    </row>
    <row r="221" spans="1:33" ht="11.25" customHeight="1" x14ac:dyDescent="0.25">
      <c r="A221" s="3" t="s">
        <v>21</v>
      </c>
      <c r="B221" s="3" t="s">
        <v>35</v>
      </c>
      <c r="C221" s="3" t="s">
        <v>39</v>
      </c>
      <c r="D221" s="3" t="s">
        <v>49</v>
      </c>
      <c r="E221" s="3" t="s">
        <v>50</v>
      </c>
      <c r="F221" s="3" t="s">
        <v>25</v>
      </c>
      <c r="G221" s="3" t="s">
        <v>25</v>
      </c>
      <c r="H221" s="3" t="s">
        <v>37</v>
      </c>
      <c r="I221" s="6">
        <v>44621</v>
      </c>
      <c r="J221" s="4">
        <v>0</v>
      </c>
      <c r="K221" s="58">
        <v>0</v>
      </c>
      <c r="L221" s="4">
        <v>0.40400000000000003</v>
      </c>
      <c r="M221" s="58">
        <v>0.40400000000000003</v>
      </c>
      <c r="N221" s="4">
        <v>0.40400000000000003</v>
      </c>
      <c r="O221" s="58">
        <v>0.40400000000000003</v>
      </c>
      <c r="P221" s="4">
        <v>0</v>
      </c>
      <c r="Q221" s="3" t="s">
        <v>26</v>
      </c>
      <c r="R221" s="3">
        <v>0</v>
      </c>
      <c r="S221" s="4">
        <v>0</v>
      </c>
      <c r="T221" s="4">
        <v>35</v>
      </c>
      <c r="U221" s="4">
        <v>70</v>
      </c>
      <c r="V221" s="58">
        <f>IF(ISERROR(VLOOKUP($S$221,'TAR FIN'!$A$1:$O$88,15,0)),0,VLOOKUP($S$221,'TAR FIN'!$A$1:$O$88,15,0))</f>
        <v>0</v>
      </c>
      <c r="W221" s="58">
        <f>IF(ISERROR(VLOOKUP($T$221,'TAR FIN'!$A$1:$O$88,15,0)),0,VLOOKUP($T$221,'TAR FIN'!$A$1:$O$88,15,0))*(1-0.06)</f>
        <v>2515.5903999999996</v>
      </c>
      <c r="X221" s="58">
        <f>IF(ISERROR(VLOOKUP($U$221,'TAR FIN'!$A$1:$O$88,15,0)),0,VLOOKUP($U$221,'TAR FIN'!$A$1:$O$88,15,0))*(1-0.06)</f>
        <v>141.24439999999998</v>
      </c>
      <c r="Y221" s="58"/>
      <c r="Z221" s="58">
        <f ca="1">('TUSD BE'!$AM$11+'TUSD BF'!$AM$11+'TUSD CVA'!$AM$11)*1*(1-0.03)</f>
        <v>2547.8791355819558</v>
      </c>
      <c r="AA221" s="58">
        <f>('TE BE'!$AB$5+'TE BF'!$AB$5+'TE CVA'!$AB$5)*1*(1-0.03)</f>
        <v>132.52397739539686</v>
      </c>
      <c r="AB221" s="4">
        <f>$K$221*$V$221</f>
        <v>0</v>
      </c>
      <c r="AC221" s="4">
        <f>$M$221*$W$221</f>
        <v>1016.2985215999998</v>
      </c>
      <c r="AD221" s="4">
        <f>$O$221*$X$221</f>
        <v>57.062737599999998</v>
      </c>
      <c r="AE221" s="4">
        <f>$K$221*$Y$221</f>
        <v>0</v>
      </c>
      <c r="AF221" s="4">
        <f ca="1">$M$221*$Z$221</f>
        <v>1029.3431707751101</v>
      </c>
      <c r="AG221" s="4">
        <f>$O$221*$AA$221</f>
        <v>53.539686867740336</v>
      </c>
    </row>
    <row r="222" spans="1:33" ht="11.25" customHeight="1" x14ac:dyDescent="0.25">
      <c r="A222" s="3" t="s">
        <v>21</v>
      </c>
      <c r="B222" s="3" t="s">
        <v>35</v>
      </c>
      <c r="C222" s="3" t="s">
        <v>39</v>
      </c>
      <c r="D222" s="3" t="s">
        <v>49</v>
      </c>
      <c r="E222" s="3" t="s">
        <v>50</v>
      </c>
      <c r="F222" s="3" t="s">
        <v>25</v>
      </c>
      <c r="G222" s="3" t="s">
        <v>25</v>
      </c>
      <c r="H222" s="3" t="s">
        <v>37</v>
      </c>
      <c r="I222" s="6">
        <v>44652</v>
      </c>
      <c r="J222" s="4">
        <v>0</v>
      </c>
      <c r="K222" s="58">
        <v>0</v>
      </c>
      <c r="L222" s="4">
        <v>0.68500000000000005</v>
      </c>
      <c r="M222" s="58">
        <v>0.68500000000000005</v>
      </c>
      <c r="N222" s="4">
        <v>0.68500000000000005</v>
      </c>
      <c r="O222" s="58">
        <v>0.68500000000000005</v>
      </c>
      <c r="P222" s="4">
        <v>0</v>
      </c>
      <c r="Q222" s="3" t="s">
        <v>26</v>
      </c>
      <c r="R222" s="3">
        <v>0</v>
      </c>
      <c r="S222" s="4">
        <v>0</v>
      </c>
      <c r="T222" s="4">
        <v>35</v>
      </c>
      <c r="U222" s="4">
        <v>70</v>
      </c>
      <c r="V222" s="58">
        <f>IF(ISERROR(VLOOKUP($S$222,'TAR FIN'!$A$1:$O$88,15,0)),0,VLOOKUP($S$222,'TAR FIN'!$A$1:$O$88,15,0))</f>
        <v>0</v>
      </c>
      <c r="W222" s="58">
        <f>IF(ISERROR(VLOOKUP($T$222,'TAR FIN'!$A$1:$O$88,15,0)),0,VLOOKUP($T$222,'TAR FIN'!$A$1:$O$88,15,0))*(1-0.06)</f>
        <v>2515.5903999999996</v>
      </c>
      <c r="X222" s="58">
        <f>IF(ISERROR(VLOOKUP($U$222,'TAR FIN'!$A$1:$O$88,15,0)),0,VLOOKUP($U$222,'TAR FIN'!$A$1:$O$88,15,0))*(1-0.06)</f>
        <v>141.24439999999998</v>
      </c>
      <c r="Y222" s="58"/>
      <c r="Z222" s="58">
        <f ca="1">('TUSD BE'!$AM$11+'TUSD BF'!$AM$11+'TUSD CVA'!$AM$11)*1*(1-0.03)</f>
        <v>2547.8791355819558</v>
      </c>
      <c r="AA222" s="58">
        <f>('TE BE'!$AB$5+'TE BF'!$AB$5+'TE CVA'!$AB$5)*1*(1-0.03)</f>
        <v>132.52397739539686</v>
      </c>
      <c r="AB222" s="4">
        <f>$K$222*$V$222</f>
        <v>0</v>
      </c>
      <c r="AC222" s="4">
        <f>$M$222*$W$222</f>
        <v>1723.1794239999999</v>
      </c>
      <c r="AD222" s="4">
        <f>$O$222*$X$222</f>
        <v>96.752414000000002</v>
      </c>
      <c r="AE222" s="4">
        <f>$K$222*$Y$222</f>
        <v>0</v>
      </c>
      <c r="AF222" s="4">
        <f ca="1">$M$222*$Z$222</f>
        <v>1745.2972078736398</v>
      </c>
      <c r="AG222" s="4">
        <f>$O$222*$AA$222</f>
        <v>90.778924515846853</v>
      </c>
    </row>
    <row r="223" spans="1:33" ht="11.25" customHeight="1" x14ac:dyDescent="0.25">
      <c r="A223" s="3" t="s">
        <v>21</v>
      </c>
      <c r="B223" s="3" t="s">
        <v>35</v>
      </c>
      <c r="C223" s="3" t="s">
        <v>39</v>
      </c>
      <c r="D223" s="3" t="s">
        <v>49</v>
      </c>
      <c r="E223" s="3" t="s">
        <v>50</v>
      </c>
      <c r="F223" s="3" t="s">
        <v>25</v>
      </c>
      <c r="G223" s="3" t="s">
        <v>25</v>
      </c>
      <c r="H223" s="3" t="s">
        <v>37</v>
      </c>
      <c r="I223" s="6">
        <v>44682</v>
      </c>
      <c r="J223" s="4">
        <v>0</v>
      </c>
      <c r="K223" s="58">
        <v>0</v>
      </c>
      <c r="L223" s="4">
        <v>0.6</v>
      </c>
      <c r="M223" s="58">
        <v>0.6</v>
      </c>
      <c r="N223" s="4">
        <v>0.6</v>
      </c>
      <c r="O223" s="58">
        <v>0.6</v>
      </c>
      <c r="P223" s="4">
        <v>0</v>
      </c>
      <c r="Q223" s="3" t="s">
        <v>26</v>
      </c>
      <c r="R223" s="3">
        <v>0</v>
      </c>
      <c r="S223" s="4">
        <v>0</v>
      </c>
      <c r="T223" s="4">
        <v>35</v>
      </c>
      <c r="U223" s="4">
        <v>70</v>
      </c>
      <c r="V223" s="58">
        <f>IF(ISERROR(VLOOKUP($S$223,'TAR FIN'!$A$1:$O$88,15,0)),0,VLOOKUP($S$223,'TAR FIN'!$A$1:$O$88,15,0))</f>
        <v>0</v>
      </c>
      <c r="W223" s="58">
        <f>IF(ISERROR(VLOOKUP($T$223,'TAR FIN'!$A$1:$O$88,15,0)),0,VLOOKUP($T$223,'TAR FIN'!$A$1:$O$88,15,0))*(1-0.06)</f>
        <v>2515.5903999999996</v>
      </c>
      <c r="X223" s="58">
        <f>IF(ISERROR(VLOOKUP($U$223,'TAR FIN'!$A$1:$O$88,15,0)),0,VLOOKUP($U$223,'TAR FIN'!$A$1:$O$88,15,0))*(1-0.06)</f>
        <v>141.24439999999998</v>
      </c>
      <c r="Y223" s="58"/>
      <c r="Z223" s="58">
        <f ca="1">('TUSD BE'!$AM$11+'TUSD BF'!$AM$11+'TUSD CVA'!$AM$11)*1*(1-0.03)</f>
        <v>2547.8791355819558</v>
      </c>
      <c r="AA223" s="58">
        <f>('TE BE'!$AB$5+'TE BF'!$AB$5+'TE CVA'!$AB$5)*1*(1-0.03)</f>
        <v>132.52397739539686</v>
      </c>
      <c r="AB223" s="4">
        <f>$K$223*$V$223</f>
        <v>0</v>
      </c>
      <c r="AC223" s="4">
        <f>$M$223*$W$223</f>
        <v>1509.3542399999997</v>
      </c>
      <c r="AD223" s="4">
        <f>$O$223*$X$223</f>
        <v>84.746639999999985</v>
      </c>
      <c r="AE223" s="4">
        <f>$K$223*$Y$223</f>
        <v>0</v>
      </c>
      <c r="AF223" s="4">
        <f ca="1">$M$223*$Z$223</f>
        <v>1528.7274813491733</v>
      </c>
      <c r="AG223" s="4">
        <f>$O$223*$AA$223</f>
        <v>79.514386437238116</v>
      </c>
    </row>
    <row r="224" spans="1:33" ht="11.25" customHeight="1" x14ac:dyDescent="0.25">
      <c r="A224" s="3" t="s">
        <v>21</v>
      </c>
      <c r="B224" s="3" t="s">
        <v>35</v>
      </c>
      <c r="C224" s="3" t="s">
        <v>39</v>
      </c>
      <c r="D224" s="3" t="s">
        <v>49</v>
      </c>
      <c r="E224" s="3" t="s">
        <v>50</v>
      </c>
      <c r="F224" s="3" t="s">
        <v>25</v>
      </c>
      <c r="G224" s="3" t="s">
        <v>25</v>
      </c>
      <c r="H224" s="3" t="s">
        <v>37</v>
      </c>
      <c r="I224" s="6">
        <v>44713</v>
      </c>
      <c r="J224" s="4">
        <v>0</v>
      </c>
      <c r="K224" s="58">
        <v>0</v>
      </c>
      <c r="L224" s="4">
        <v>0.69699999999999995</v>
      </c>
      <c r="M224" s="58">
        <v>0.69699999999999995</v>
      </c>
      <c r="N224" s="4">
        <v>0.69699999999999995</v>
      </c>
      <c r="O224" s="58">
        <v>0.69699999999999995</v>
      </c>
      <c r="P224" s="4">
        <v>0</v>
      </c>
      <c r="Q224" s="3" t="s">
        <v>26</v>
      </c>
      <c r="R224" s="3">
        <v>0</v>
      </c>
      <c r="S224" s="4">
        <v>0</v>
      </c>
      <c r="T224" s="4">
        <v>35</v>
      </c>
      <c r="U224" s="4">
        <v>70</v>
      </c>
      <c r="V224" s="58">
        <f>IF(ISERROR(VLOOKUP($S$224,'TAR FIN'!$A$1:$O$88,15,0)),0,VLOOKUP($S$224,'TAR FIN'!$A$1:$O$88,15,0))</f>
        <v>0</v>
      </c>
      <c r="W224" s="58">
        <f>IF(ISERROR(VLOOKUP($T$224,'TAR FIN'!$A$1:$O$88,15,0)),0,VLOOKUP($T$224,'TAR FIN'!$A$1:$O$88,15,0))*(1-0.06)</f>
        <v>2515.5903999999996</v>
      </c>
      <c r="X224" s="58">
        <f>IF(ISERROR(VLOOKUP($U$224,'TAR FIN'!$A$1:$O$88,15,0)),0,VLOOKUP($U$224,'TAR FIN'!$A$1:$O$88,15,0))*(1-0.06)</f>
        <v>141.24439999999998</v>
      </c>
      <c r="Y224" s="58"/>
      <c r="Z224" s="58">
        <f ca="1">('TUSD BE'!$AM$11+'TUSD BF'!$AM$11+'TUSD CVA'!$AM$11)*1*(1-0.03)</f>
        <v>2547.8791355819558</v>
      </c>
      <c r="AA224" s="58">
        <f>('TE BE'!$AB$5+'TE BF'!$AB$5+'TE CVA'!$AB$5)*1*(1-0.03)</f>
        <v>132.52397739539686</v>
      </c>
      <c r="AB224" s="4">
        <f>$K$224*$V$224</f>
        <v>0</v>
      </c>
      <c r="AC224" s="4">
        <f>$M$224*$W$224</f>
        <v>1753.3665087999996</v>
      </c>
      <c r="AD224" s="4">
        <f>$O$224*$X$224</f>
        <v>98.447346799999977</v>
      </c>
      <c r="AE224" s="4">
        <f>$K$224*$Y$224</f>
        <v>0</v>
      </c>
      <c r="AF224" s="4">
        <f ca="1">$M$224*$Z$224</f>
        <v>1775.8717575006231</v>
      </c>
      <c r="AG224" s="4">
        <f>$O$224*$AA$224</f>
        <v>92.369212244591608</v>
      </c>
    </row>
    <row r="225" spans="1:33" ht="11.25" customHeight="1" x14ac:dyDescent="0.25">
      <c r="A225" s="3" t="s">
        <v>21</v>
      </c>
      <c r="B225" s="3" t="s">
        <v>35</v>
      </c>
      <c r="C225" s="3" t="s">
        <v>39</v>
      </c>
      <c r="D225" s="3" t="s">
        <v>49</v>
      </c>
      <c r="E225" s="3" t="s">
        <v>50</v>
      </c>
      <c r="F225" s="3" t="s">
        <v>25</v>
      </c>
      <c r="G225" s="3" t="s">
        <v>25</v>
      </c>
      <c r="H225" s="3" t="s">
        <v>37</v>
      </c>
      <c r="I225" s="6">
        <v>44743</v>
      </c>
      <c r="J225" s="4">
        <v>0</v>
      </c>
      <c r="K225" s="58">
        <v>0</v>
      </c>
      <c r="L225" s="4">
        <v>0.65900000000000003</v>
      </c>
      <c r="M225" s="58">
        <v>0.65900000000000003</v>
      </c>
      <c r="N225" s="4">
        <v>0.65900000000000003</v>
      </c>
      <c r="O225" s="58">
        <v>0.65900000000000003</v>
      </c>
      <c r="P225" s="4">
        <v>0</v>
      </c>
      <c r="Q225" s="3" t="s">
        <v>26</v>
      </c>
      <c r="R225" s="3">
        <v>0</v>
      </c>
      <c r="S225" s="4">
        <v>0</v>
      </c>
      <c r="T225" s="4">
        <v>35</v>
      </c>
      <c r="U225" s="4">
        <v>70</v>
      </c>
      <c r="V225" s="58">
        <f>IF(ISERROR(VLOOKUP($S$225,'TAR FIN'!$A$1:$O$88,15,0)),0,VLOOKUP($S$225,'TAR FIN'!$A$1:$O$88,15,0))</f>
        <v>0</v>
      </c>
      <c r="W225" s="58">
        <f>IF(ISERROR(VLOOKUP($T$225,'TAR FIN'!$A$1:$O$88,15,0)),0,VLOOKUP($T$225,'TAR FIN'!$A$1:$O$88,15,0))*(1-0.06)</f>
        <v>2515.5903999999996</v>
      </c>
      <c r="X225" s="58">
        <f>IF(ISERROR(VLOOKUP($U$225,'TAR FIN'!$A$1:$O$88,15,0)),0,VLOOKUP($U$225,'TAR FIN'!$A$1:$O$88,15,0))*(1-0.06)</f>
        <v>141.24439999999998</v>
      </c>
      <c r="Y225" s="58"/>
      <c r="Z225" s="58">
        <f ca="1">('TUSD BE'!$AM$11+'TUSD BF'!$AM$11+'TUSD CVA'!$AM$11)*1*(1-0.03)</f>
        <v>2547.8791355819558</v>
      </c>
      <c r="AA225" s="58">
        <f>('TE BE'!$AB$5+'TE BF'!$AB$5+'TE CVA'!$AB$5)*1*(1-0.03)</f>
        <v>132.52397739539686</v>
      </c>
      <c r="AB225" s="4">
        <f>$K$225*$V$225</f>
        <v>0</v>
      </c>
      <c r="AC225" s="4">
        <f>$M$225*$W$225</f>
        <v>1657.7740735999998</v>
      </c>
      <c r="AD225" s="4">
        <f>$O$225*$X$225</f>
        <v>93.080059599999998</v>
      </c>
      <c r="AE225" s="4">
        <f>$K$225*$Y$225</f>
        <v>0</v>
      </c>
      <c r="AF225" s="4">
        <f ca="1">$M$225*$Z$225</f>
        <v>1679.052350348509</v>
      </c>
      <c r="AG225" s="4">
        <f>$O$225*$AA$225</f>
        <v>87.333301103566527</v>
      </c>
    </row>
    <row r="226" spans="1:33" ht="11.25" customHeight="1" x14ac:dyDescent="0.25">
      <c r="A226" s="3" t="s">
        <v>55</v>
      </c>
      <c r="B226" s="3" t="s">
        <v>35</v>
      </c>
      <c r="C226" s="3" t="s">
        <v>39</v>
      </c>
      <c r="D226" s="3" t="s">
        <v>49</v>
      </c>
      <c r="E226" s="3" t="s">
        <v>50</v>
      </c>
      <c r="F226" s="3" t="s">
        <v>25</v>
      </c>
      <c r="G226" s="3" t="s">
        <v>25</v>
      </c>
      <c r="H226" s="3" t="s">
        <v>37</v>
      </c>
      <c r="I226" s="6">
        <v>44774</v>
      </c>
      <c r="J226" s="4">
        <v>0</v>
      </c>
      <c r="K226" s="58">
        <v>0</v>
      </c>
      <c r="L226" s="4">
        <v>0.65900000000000003</v>
      </c>
      <c r="M226" s="58">
        <v>0.65900000000000003</v>
      </c>
      <c r="N226" s="4">
        <v>0.65900000000000003</v>
      </c>
      <c r="O226" s="58">
        <v>0.65900000000000003</v>
      </c>
      <c r="P226" s="4">
        <v>0</v>
      </c>
      <c r="Q226" s="3" t="s">
        <v>26</v>
      </c>
      <c r="R226" s="3">
        <v>0</v>
      </c>
      <c r="S226" s="4">
        <v>0</v>
      </c>
      <c r="T226" s="4">
        <v>35</v>
      </c>
      <c r="U226" s="4">
        <v>70</v>
      </c>
      <c r="V226" s="58">
        <f>IF(ISERROR(VLOOKUP($S$226,'TAR FIN'!$A$1:$O$88,15,0)),0,VLOOKUP($S$226,'TAR FIN'!$A$1:$O$88,15,0))</f>
        <v>0</v>
      </c>
      <c r="W226" s="58">
        <f>IF(ISERROR(VLOOKUP($T$226,'TAR FIN'!$A$1:$O$88,15,0)),0,VLOOKUP($T$226,'TAR FIN'!$A$1:$O$88,15,0))*(1-0.06)</f>
        <v>2515.5903999999996</v>
      </c>
      <c r="X226" s="58">
        <f>IF(ISERROR(VLOOKUP($U$226,'TAR FIN'!$A$1:$O$88,15,0)),0,VLOOKUP($U$226,'TAR FIN'!$A$1:$O$88,15,0))*(1-0.06)</f>
        <v>141.24439999999998</v>
      </c>
      <c r="Y226" s="58"/>
      <c r="Z226" s="58">
        <f ca="1">('TUSD BE'!$AM$11+'TUSD BF'!$AM$11+'TUSD CVA'!$AM$11)*1*(1-0.03)</f>
        <v>2547.8791355819558</v>
      </c>
      <c r="AA226" s="58">
        <f>('TE BE'!$AB$5+'TE BF'!$AB$5+'TE CVA'!$AB$5)*1*(1-0.03)</f>
        <v>132.52397739539686</v>
      </c>
      <c r="AB226" s="4">
        <f>$K$226*$V$226</f>
        <v>0</v>
      </c>
      <c r="AC226" s="4">
        <f>$M$226*$W$226</f>
        <v>1657.7740735999998</v>
      </c>
      <c r="AD226" s="4">
        <f>$O$226*$X$226</f>
        <v>93.080059599999998</v>
      </c>
      <c r="AE226" s="4">
        <f>$K$226*$Y$226</f>
        <v>0</v>
      </c>
      <c r="AF226" s="4">
        <f ca="1">$M$226*$Z$226</f>
        <v>1679.052350348509</v>
      </c>
      <c r="AG226" s="4">
        <f>$O$226*$AA$226</f>
        <v>87.333301103566527</v>
      </c>
    </row>
    <row r="227" spans="1:3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44440</v>
      </c>
      <c r="J227" s="4">
        <v>0</v>
      </c>
      <c r="K227" s="4">
        <v>0</v>
      </c>
      <c r="L227" s="4">
        <v>2353.8519999999999</v>
      </c>
      <c r="M227" s="4">
        <v>2353.8519999999999</v>
      </c>
      <c r="N227" s="4">
        <v>2353.8519999999999</v>
      </c>
      <c r="O227" s="4">
        <v>2353.8519999999999</v>
      </c>
      <c r="P227" s="4">
        <v>11922</v>
      </c>
      <c r="Q227" s="3" t="s">
        <v>26</v>
      </c>
      <c r="R227" s="3">
        <v>0</v>
      </c>
      <c r="S227" s="4">
        <v>0</v>
      </c>
      <c r="T227" s="4">
        <v>34</v>
      </c>
      <c r="U227" s="4">
        <v>83</v>
      </c>
      <c r="V227" s="4">
        <f>IF(ISERROR(VLOOKUP($S$227,'TAR FIN'!$A$1:$O$88,15,0)),0,VLOOKUP($S$227,'TAR FIN'!$A$1:$O$88,15,0))</f>
        <v>0</v>
      </c>
      <c r="W227" s="4">
        <f>IF(ISERROR(VLOOKUP($T$227,'TAR FIN'!$A$1:$O$88,15,0)),0,VLOOKUP($T$227,'TAR FIN'!$A$1:$O$88,15,0))</f>
        <v>501.48</v>
      </c>
      <c r="X227" s="4">
        <f>IF(ISERROR(VLOOKUP($U$227,'TAR FIN'!$A$1:$O$88,15,0)),0,VLOOKUP($U$227,'TAR FIN'!$A$1:$O$88,15,0))</f>
        <v>150.26</v>
      </c>
      <c r="Y227" s="4"/>
      <c r="Z227" s="4">
        <f ca="1">('TUSD BE'!$AM$20+'TUSD BF'!$AM$20+'TUSD CVA'!$AM$20)*1</f>
        <v>590.21277757372172</v>
      </c>
      <c r="AA227" s="4">
        <f>('TE BE'!$AB$10+'TE BF'!$AB$10+'TE CVA'!$AB$10)*1</f>
        <v>136.62265710865657</v>
      </c>
      <c r="AB227" s="4">
        <f>$K$227*$V$227</f>
        <v>0</v>
      </c>
      <c r="AC227" s="4">
        <f>$M$227*$W$227</f>
        <v>1180409.70096</v>
      </c>
      <c r="AD227" s="4">
        <f>$O$227*$X$227</f>
        <v>353689.80151999998</v>
      </c>
      <c r="AE227" s="4">
        <f>$K$227*$Y$227</f>
        <v>0</v>
      </c>
      <c r="AF227" s="4">
        <f ca="1">$M$227*$Z$227</f>
        <v>1389273.5269174599</v>
      </c>
      <c r="AG227" s="4">
        <f>$O$227*$AA$227</f>
        <v>321589.51468052546</v>
      </c>
    </row>
    <row r="228" spans="1:33" ht="11.25" customHeight="1" x14ac:dyDescent="0.25">
      <c r="A228" s="3" t="s">
        <v>27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44440</v>
      </c>
      <c r="J228" s="4">
        <v>0</v>
      </c>
      <c r="K228" s="4">
        <v>0</v>
      </c>
      <c r="L228" s="4">
        <v>-3.2450000000000001</v>
      </c>
      <c r="M228" s="4">
        <v>-3.2450000000000001</v>
      </c>
      <c r="N228" s="4">
        <v>-3.2450000000000001</v>
      </c>
      <c r="O228" s="4">
        <v>-3.2450000000000001</v>
      </c>
      <c r="P228" s="4">
        <v>0</v>
      </c>
      <c r="Q228" s="3" t="s">
        <v>26</v>
      </c>
      <c r="R228" s="3">
        <v>0</v>
      </c>
      <c r="S228" s="4">
        <v>0</v>
      </c>
      <c r="T228" s="4">
        <v>34</v>
      </c>
      <c r="U228" s="4">
        <v>83</v>
      </c>
      <c r="V228" s="4">
        <f>IF(ISERROR(VLOOKUP($S$228,'TAR FIN'!$A$1:$O$88,15,0)),0,VLOOKUP($S$228,'TAR FIN'!$A$1:$O$88,15,0))</f>
        <v>0</v>
      </c>
      <c r="W228" s="4">
        <f>IF(ISERROR(VLOOKUP($T$228,'TAR FIN'!$A$1:$O$88,15,0)),0,VLOOKUP($T$228,'TAR FIN'!$A$1:$O$88,15,0))</f>
        <v>501.48</v>
      </c>
      <c r="X228" s="4">
        <f>IF(ISERROR(VLOOKUP($U$228,'TAR FIN'!$A$1:$O$88,15,0)),0,VLOOKUP($U$228,'TAR FIN'!$A$1:$O$88,15,0))</f>
        <v>150.26</v>
      </c>
      <c r="Y228" s="4"/>
      <c r="Z228" s="4">
        <f ca="1">('TUSD BE'!$AM$20+'TUSD BF'!$AM$20+'TUSD CVA'!$AM$20)*1</f>
        <v>590.21277757372172</v>
      </c>
      <c r="AA228" s="4">
        <f>('TE BE'!$AB$10+'TE BF'!$AB$10+'TE CVA'!$AB$10)*1</f>
        <v>136.62265710865657</v>
      </c>
      <c r="AB228" s="4">
        <f>$K$228*$V$228</f>
        <v>0</v>
      </c>
      <c r="AC228" s="4">
        <f>$M$228*$W$228</f>
        <v>-1627.3026000000002</v>
      </c>
      <c r="AD228" s="4">
        <f>$O$228*$X$228</f>
        <v>-487.59370000000001</v>
      </c>
      <c r="AE228" s="4">
        <f>$K$228*$Y$228</f>
        <v>0</v>
      </c>
      <c r="AF228" s="4">
        <f ca="1">$M$228*$Z$228</f>
        <v>-1915.2404632267271</v>
      </c>
      <c r="AG228" s="4">
        <f>$O$228*$AA$228</f>
        <v>-443.34052231759057</v>
      </c>
    </row>
    <row r="229" spans="1:33" ht="11.25" customHeight="1" x14ac:dyDescent="0.25">
      <c r="A229" s="3" t="s">
        <v>28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44440</v>
      </c>
      <c r="J229" s="4">
        <v>0</v>
      </c>
      <c r="K229" s="4">
        <v>0</v>
      </c>
      <c r="L229" s="4">
        <v>6.4290000000000003</v>
      </c>
      <c r="M229" s="4">
        <v>6.4290000000000003</v>
      </c>
      <c r="N229" s="4">
        <v>6.4290000000000003</v>
      </c>
      <c r="O229" s="4">
        <v>6.4290000000000003</v>
      </c>
      <c r="P229" s="4">
        <v>52</v>
      </c>
      <c r="Q229" s="3" t="s">
        <v>26</v>
      </c>
      <c r="R229" s="3">
        <v>0</v>
      </c>
      <c r="S229" s="4">
        <v>0</v>
      </c>
      <c r="T229" s="4">
        <v>34</v>
      </c>
      <c r="U229" s="4">
        <v>83</v>
      </c>
      <c r="V229" s="4">
        <f>IF(ISERROR(VLOOKUP($S$229,'TAR FIN'!$A$1:$O$88,15,0)),0,VLOOKUP($S$229,'TAR FIN'!$A$1:$O$88,15,0))</f>
        <v>0</v>
      </c>
      <c r="W229" s="4">
        <f>IF(ISERROR(VLOOKUP($T$229,'TAR FIN'!$A$1:$O$88,15,0)),0,VLOOKUP($T$229,'TAR FIN'!$A$1:$O$88,15,0))</f>
        <v>501.48</v>
      </c>
      <c r="X229" s="4">
        <f>IF(ISERROR(VLOOKUP($U$229,'TAR FIN'!$A$1:$O$88,15,0)),0,VLOOKUP($U$229,'TAR FIN'!$A$1:$O$88,15,0))</f>
        <v>150.26</v>
      </c>
      <c r="Y229" s="4"/>
      <c r="Z229" s="4">
        <f ca="1">('TUSD BE'!$AM$20+'TUSD BF'!$AM$20+'TUSD CVA'!$AM$20)*1</f>
        <v>590.21277757372172</v>
      </c>
      <c r="AA229" s="4">
        <f>('TE BE'!$AB$10+'TE BF'!$AB$10+'TE CVA'!$AB$10)*1</f>
        <v>136.62265710865657</v>
      </c>
      <c r="AB229" s="4">
        <f>$K$229*$V$229</f>
        <v>0</v>
      </c>
      <c r="AC229" s="4">
        <f>$M$229*$W$229</f>
        <v>3224.0149200000001</v>
      </c>
      <c r="AD229" s="4">
        <f>$O$229*$X$229</f>
        <v>966.02153999999996</v>
      </c>
      <c r="AE229" s="4">
        <f>$K$229*$Y$229</f>
        <v>0</v>
      </c>
      <c r="AF229" s="4">
        <f ca="1">$M$229*$Z$229</f>
        <v>3794.4779470214571</v>
      </c>
      <c r="AG229" s="4">
        <f>$O$229*$AA$229</f>
        <v>878.34706255155311</v>
      </c>
    </row>
    <row r="230" spans="1:3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44470</v>
      </c>
      <c r="J230" s="4">
        <v>0</v>
      </c>
      <c r="K230" s="4">
        <v>0</v>
      </c>
      <c r="L230" s="4">
        <v>2341.1759999999999</v>
      </c>
      <c r="M230" s="4">
        <v>2341.1759999999999</v>
      </c>
      <c r="N230" s="4">
        <v>2341.1759999999999</v>
      </c>
      <c r="O230" s="4">
        <v>2341.1759999999999</v>
      </c>
      <c r="P230" s="4">
        <v>11957</v>
      </c>
      <c r="Q230" s="3" t="s">
        <v>26</v>
      </c>
      <c r="R230" s="3">
        <v>0</v>
      </c>
      <c r="S230" s="4">
        <v>0</v>
      </c>
      <c r="T230" s="4">
        <v>34</v>
      </c>
      <c r="U230" s="4">
        <v>83</v>
      </c>
      <c r="V230" s="4">
        <f>IF(ISERROR(VLOOKUP($S$230,'TAR FIN'!$A$1:$O$88,15,0)),0,VLOOKUP($S$230,'TAR FIN'!$A$1:$O$88,15,0))</f>
        <v>0</v>
      </c>
      <c r="W230" s="4">
        <f>IF(ISERROR(VLOOKUP($T$230,'TAR FIN'!$A$1:$O$88,15,0)),0,VLOOKUP($T$230,'TAR FIN'!$A$1:$O$88,15,0))</f>
        <v>501.48</v>
      </c>
      <c r="X230" s="4">
        <f>IF(ISERROR(VLOOKUP($U$230,'TAR FIN'!$A$1:$O$88,15,0)),0,VLOOKUP($U$230,'TAR FIN'!$A$1:$O$88,15,0))</f>
        <v>150.26</v>
      </c>
      <c r="Y230" s="4"/>
      <c r="Z230" s="4">
        <f ca="1">('TUSD BE'!$AM$20+'TUSD BF'!$AM$20+'TUSD CVA'!$AM$20)*1</f>
        <v>590.21277757372172</v>
      </c>
      <c r="AA230" s="4">
        <f>('TE BE'!$AB$10+'TE BF'!$AB$10+'TE CVA'!$AB$10)*1</f>
        <v>136.62265710865657</v>
      </c>
      <c r="AB230" s="4">
        <f>$K$230*$V$230</f>
        <v>0</v>
      </c>
      <c r="AC230" s="4">
        <f>$M$230*$W$230</f>
        <v>1174052.9404800001</v>
      </c>
      <c r="AD230" s="4">
        <f>$O$230*$X$230</f>
        <v>351785.10575999995</v>
      </c>
      <c r="AE230" s="4">
        <f>$K$230*$Y$230</f>
        <v>0</v>
      </c>
      <c r="AF230" s="4">
        <f ca="1">$M$230*$Z$230</f>
        <v>1381791.9897489354</v>
      </c>
      <c r="AG230" s="4">
        <f>$O$230*$AA$230</f>
        <v>319857.68587901612</v>
      </c>
    </row>
    <row r="231" spans="1:33" ht="11.25" customHeight="1" x14ac:dyDescent="0.25">
      <c r="A231" s="3" t="s">
        <v>27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44470</v>
      </c>
      <c r="J231" s="4">
        <v>0</v>
      </c>
      <c r="K231" s="4">
        <v>0</v>
      </c>
      <c r="L231" s="4">
        <v>-18.765000000000001</v>
      </c>
      <c r="M231" s="4">
        <v>-18.765000000000001</v>
      </c>
      <c r="N231" s="4">
        <v>-18.765000000000001</v>
      </c>
      <c r="O231" s="4">
        <v>-18.765000000000001</v>
      </c>
      <c r="P231" s="4">
        <v>0</v>
      </c>
      <c r="Q231" s="3" t="s">
        <v>26</v>
      </c>
      <c r="R231" s="3">
        <v>0</v>
      </c>
      <c r="S231" s="4">
        <v>0</v>
      </c>
      <c r="T231" s="4">
        <v>34</v>
      </c>
      <c r="U231" s="4">
        <v>83</v>
      </c>
      <c r="V231" s="4">
        <f>IF(ISERROR(VLOOKUP($S$231,'TAR FIN'!$A$1:$O$88,15,0)),0,VLOOKUP($S$231,'TAR FIN'!$A$1:$O$88,15,0))</f>
        <v>0</v>
      </c>
      <c r="W231" s="4">
        <f>IF(ISERROR(VLOOKUP($T$231,'TAR FIN'!$A$1:$O$88,15,0)),0,VLOOKUP($T$231,'TAR FIN'!$A$1:$O$88,15,0))</f>
        <v>501.48</v>
      </c>
      <c r="X231" s="4">
        <f>IF(ISERROR(VLOOKUP($U$231,'TAR FIN'!$A$1:$O$88,15,0)),0,VLOOKUP($U$231,'TAR FIN'!$A$1:$O$88,15,0))</f>
        <v>150.26</v>
      </c>
      <c r="Y231" s="4"/>
      <c r="Z231" s="4">
        <f ca="1">('TUSD BE'!$AM$20+'TUSD BF'!$AM$20+'TUSD CVA'!$AM$20)*1</f>
        <v>590.21277757372172</v>
      </c>
      <c r="AA231" s="4">
        <f>('TE BE'!$AB$10+'TE BF'!$AB$10+'TE CVA'!$AB$10)*1</f>
        <v>136.62265710865657</v>
      </c>
      <c r="AB231" s="4">
        <f>$K$231*$V$231</f>
        <v>0</v>
      </c>
      <c r="AC231" s="4">
        <f>$M$231*$W$231</f>
        <v>-9410.2722000000012</v>
      </c>
      <c r="AD231" s="4">
        <f>$O$231*$X$231</f>
        <v>-2819.6288999999997</v>
      </c>
      <c r="AE231" s="4">
        <f>$K$231*$Y$231</f>
        <v>0</v>
      </c>
      <c r="AF231" s="4">
        <f ca="1">$M$231*$Z$231</f>
        <v>-11075.342771170888</v>
      </c>
      <c r="AG231" s="4">
        <f>$O$231*$AA$231</f>
        <v>-2563.7241606439406</v>
      </c>
    </row>
    <row r="232" spans="1:33" ht="11.25" customHeight="1" x14ac:dyDescent="0.25">
      <c r="A232" s="3" t="s">
        <v>28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44470</v>
      </c>
      <c r="J232" s="4">
        <v>0</v>
      </c>
      <c r="K232" s="4">
        <v>0</v>
      </c>
      <c r="L232" s="4">
        <v>6.1310000000000002</v>
      </c>
      <c r="M232" s="4">
        <v>6.1310000000000002</v>
      </c>
      <c r="N232" s="4">
        <v>6.1310000000000002</v>
      </c>
      <c r="O232" s="4">
        <v>6.1310000000000002</v>
      </c>
      <c r="P232" s="4">
        <v>58</v>
      </c>
      <c r="Q232" s="3" t="s">
        <v>26</v>
      </c>
      <c r="R232" s="3">
        <v>0</v>
      </c>
      <c r="S232" s="4">
        <v>0</v>
      </c>
      <c r="T232" s="4">
        <v>34</v>
      </c>
      <c r="U232" s="4">
        <v>83</v>
      </c>
      <c r="V232" s="4">
        <f>IF(ISERROR(VLOOKUP($S$232,'TAR FIN'!$A$1:$O$88,15,0)),0,VLOOKUP($S$232,'TAR FIN'!$A$1:$O$88,15,0))</f>
        <v>0</v>
      </c>
      <c r="W232" s="4">
        <f>IF(ISERROR(VLOOKUP($T$232,'TAR FIN'!$A$1:$O$88,15,0)),0,VLOOKUP($T$232,'TAR FIN'!$A$1:$O$88,15,0))</f>
        <v>501.48</v>
      </c>
      <c r="X232" s="4">
        <f>IF(ISERROR(VLOOKUP($U$232,'TAR FIN'!$A$1:$O$88,15,0)),0,VLOOKUP($U$232,'TAR FIN'!$A$1:$O$88,15,0))</f>
        <v>150.26</v>
      </c>
      <c r="Y232" s="4"/>
      <c r="Z232" s="4">
        <f ca="1">('TUSD BE'!$AM$20+'TUSD BF'!$AM$20+'TUSD CVA'!$AM$20)*1</f>
        <v>590.21277757372172</v>
      </c>
      <c r="AA232" s="4">
        <f>('TE BE'!$AB$10+'TE BF'!$AB$10+'TE CVA'!$AB$10)*1</f>
        <v>136.62265710865657</v>
      </c>
      <c r="AB232" s="4">
        <f>$K$232*$V$232</f>
        <v>0</v>
      </c>
      <c r="AC232" s="4">
        <f>$M$232*$W$232</f>
        <v>3074.5738800000004</v>
      </c>
      <c r="AD232" s="4">
        <f>$O$232*$X$232</f>
        <v>921.24405999999999</v>
      </c>
      <c r="AE232" s="4">
        <f>$K$232*$Y$232</f>
        <v>0</v>
      </c>
      <c r="AF232" s="4">
        <f ca="1">$M$232*$Z$232</f>
        <v>3618.5945393044881</v>
      </c>
      <c r="AG232" s="4">
        <f>$O$232*$AA$232</f>
        <v>837.63351073317347</v>
      </c>
    </row>
    <row r="233" spans="1:3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44501</v>
      </c>
      <c r="J233" s="4">
        <v>0</v>
      </c>
      <c r="K233" s="4">
        <v>0</v>
      </c>
      <c r="L233" s="4">
        <v>2298.2170000000001</v>
      </c>
      <c r="M233" s="4">
        <v>2298.2170000000001</v>
      </c>
      <c r="N233" s="4">
        <v>2298.2170000000001</v>
      </c>
      <c r="O233" s="4">
        <v>2298.2170000000001</v>
      </c>
      <c r="P233" s="4">
        <v>11966</v>
      </c>
      <c r="Q233" s="3" t="s">
        <v>26</v>
      </c>
      <c r="R233" s="3">
        <v>0</v>
      </c>
      <c r="S233" s="4">
        <v>0</v>
      </c>
      <c r="T233" s="4">
        <v>34</v>
      </c>
      <c r="U233" s="4">
        <v>83</v>
      </c>
      <c r="V233" s="4">
        <f>IF(ISERROR(VLOOKUP($S$233,'TAR FIN'!$A$1:$O$88,15,0)),0,VLOOKUP($S$233,'TAR FIN'!$A$1:$O$88,15,0))</f>
        <v>0</v>
      </c>
      <c r="W233" s="4">
        <f>IF(ISERROR(VLOOKUP($T$233,'TAR FIN'!$A$1:$O$88,15,0)),0,VLOOKUP($T$233,'TAR FIN'!$A$1:$O$88,15,0))</f>
        <v>501.48</v>
      </c>
      <c r="X233" s="4">
        <f>IF(ISERROR(VLOOKUP($U$233,'TAR FIN'!$A$1:$O$88,15,0)),0,VLOOKUP($U$233,'TAR FIN'!$A$1:$O$88,15,0))</f>
        <v>150.26</v>
      </c>
      <c r="Y233" s="4"/>
      <c r="Z233" s="4">
        <f ca="1">('TUSD BE'!$AM$20+'TUSD BF'!$AM$20+'TUSD CVA'!$AM$20)*1</f>
        <v>590.21277757372172</v>
      </c>
      <c r="AA233" s="4">
        <f>('TE BE'!$AB$10+'TE BF'!$AB$10+'TE CVA'!$AB$10)*1</f>
        <v>136.62265710865657</v>
      </c>
      <c r="AB233" s="4">
        <f>$K$233*$V$233</f>
        <v>0</v>
      </c>
      <c r="AC233" s="4">
        <f>$M$233*$W$233</f>
        <v>1152509.8611600001</v>
      </c>
      <c r="AD233" s="4">
        <f>$O$233*$X$233</f>
        <v>345330.08642000001</v>
      </c>
      <c r="AE233" s="4">
        <f>$K$233*$Y$233</f>
        <v>0</v>
      </c>
      <c r="AF233" s="4">
        <f ca="1">$M$233*$Z$233</f>
        <v>1356437.0390371461</v>
      </c>
      <c r="AG233" s="4">
        <f>$O$233*$AA$233</f>
        <v>313988.51315228536</v>
      </c>
    </row>
    <row r="234" spans="1:33" ht="11.25" customHeight="1" x14ac:dyDescent="0.25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0</v>
      </c>
      <c r="K234" s="4">
        <v>0</v>
      </c>
      <c r="L234" s="4">
        <v>-10.891</v>
      </c>
      <c r="M234" s="4">
        <v>-10.891</v>
      </c>
      <c r="N234" s="4">
        <v>-10.891</v>
      </c>
      <c r="O234" s="4">
        <v>-10.891</v>
      </c>
      <c r="P234" s="4">
        <v>0</v>
      </c>
      <c r="Q234" s="3" t="s">
        <v>26</v>
      </c>
      <c r="R234" s="3">
        <v>0</v>
      </c>
      <c r="S234" s="4">
        <v>0</v>
      </c>
      <c r="T234" s="4">
        <v>34</v>
      </c>
      <c r="U234" s="4">
        <v>83</v>
      </c>
      <c r="V234" s="4">
        <f>IF(ISERROR(VLOOKUP($S$234,'TAR FIN'!$A$1:$O$88,15,0)),0,VLOOKUP($S$234,'TAR FIN'!$A$1:$O$88,15,0))</f>
        <v>0</v>
      </c>
      <c r="W234" s="4">
        <f>IF(ISERROR(VLOOKUP($T$234,'TAR FIN'!$A$1:$O$88,15,0)),0,VLOOKUP($T$234,'TAR FIN'!$A$1:$O$88,15,0))</f>
        <v>501.48</v>
      </c>
      <c r="X234" s="4">
        <f>IF(ISERROR(VLOOKUP($U$234,'TAR FIN'!$A$1:$O$88,15,0)),0,VLOOKUP($U$234,'TAR FIN'!$A$1:$O$88,15,0))</f>
        <v>150.26</v>
      </c>
      <c r="Y234" s="4"/>
      <c r="Z234" s="4">
        <f ca="1">('TUSD BE'!$AM$20+'TUSD BF'!$AM$20+'TUSD CVA'!$AM$20)*1</f>
        <v>590.21277757372172</v>
      </c>
      <c r="AA234" s="4">
        <f>('TE BE'!$AB$10+'TE BF'!$AB$10+'TE CVA'!$AB$10)*1</f>
        <v>136.62265710865657</v>
      </c>
      <c r="AB234" s="4">
        <f>$K$234*$V$234</f>
        <v>0</v>
      </c>
      <c r="AC234" s="4">
        <f>$M$234*$W$234</f>
        <v>-5461.6186800000005</v>
      </c>
      <c r="AD234" s="4">
        <f>$O$234*$X$234</f>
        <v>-1636.4816599999999</v>
      </c>
      <c r="AE234" s="4">
        <f>$K$234*$Y$234</f>
        <v>0</v>
      </c>
      <c r="AF234" s="4">
        <f ca="1">$M$234*$Z$234</f>
        <v>-6428.0073605554035</v>
      </c>
      <c r="AG234" s="4">
        <f>$O$234*$AA$234</f>
        <v>-1487.9573585703788</v>
      </c>
    </row>
    <row r="235" spans="1:33" ht="11.25" customHeight="1" x14ac:dyDescent="0.25">
      <c r="A235" s="3" t="s">
        <v>28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44501</v>
      </c>
      <c r="J235" s="4">
        <v>0</v>
      </c>
      <c r="K235" s="4">
        <v>0</v>
      </c>
      <c r="L235" s="4">
        <v>5.09</v>
      </c>
      <c r="M235" s="4">
        <v>5.09</v>
      </c>
      <c r="N235" s="4">
        <v>5.09</v>
      </c>
      <c r="O235" s="4">
        <v>5.09</v>
      </c>
      <c r="P235" s="4">
        <v>63</v>
      </c>
      <c r="Q235" s="3" t="s">
        <v>26</v>
      </c>
      <c r="R235" s="3">
        <v>0</v>
      </c>
      <c r="S235" s="4">
        <v>0</v>
      </c>
      <c r="T235" s="4">
        <v>34</v>
      </c>
      <c r="U235" s="4">
        <v>83</v>
      </c>
      <c r="V235" s="4">
        <f>IF(ISERROR(VLOOKUP($S$235,'TAR FIN'!$A$1:$O$88,15,0)),0,VLOOKUP($S$235,'TAR FIN'!$A$1:$O$88,15,0))</f>
        <v>0</v>
      </c>
      <c r="W235" s="4">
        <f>IF(ISERROR(VLOOKUP($T$235,'TAR FIN'!$A$1:$O$88,15,0)),0,VLOOKUP($T$235,'TAR FIN'!$A$1:$O$88,15,0))</f>
        <v>501.48</v>
      </c>
      <c r="X235" s="4">
        <f>IF(ISERROR(VLOOKUP($U$235,'TAR FIN'!$A$1:$O$88,15,0)),0,VLOOKUP($U$235,'TAR FIN'!$A$1:$O$88,15,0))</f>
        <v>150.26</v>
      </c>
      <c r="Y235" s="4"/>
      <c r="Z235" s="4">
        <f ca="1">('TUSD BE'!$AM$20+'TUSD BF'!$AM$20+'TUSD CVA'!$AM$20)*1</f>
        <v>590.21277757372172</v>
      </c>
      <c r="AA235" s="4">
        <f>('TE BE'!$AB$10+'TE BF'!$AB$10+'TE CVA'!$AB$10)*1</f>
        <v>136.62265710865657</v>
      </c>
      <c r="AB235" s="4">
        <f>$K$235*$V$235</f>
        <v>0</v>
      </c>
      <c r="AC235" s="4">
        <f>$M$235*$W$235</f>
        <v>2552.5331999999999</v>
      </c>
      <c r="AD235" s="4">
        <f>$O$235*$X$235</f>
        <v>764.82339999999988</v>
      </c>
      <c r="AE235" s="4">
        <f>$K$235*$Y$235</f>
        <v>0</v>
      </c>
      <c r="AF235" s="4">
        <f ca="1">$M$235*$Z$235</f>
        <v>3004.1830378502436</v>
      </c>
      <c r="AG235" s="4">
        <f>$O$235*$AA$235</f>
        <v>695.40932468306187</v>
      </c>
    </row>
    <row r="236" spans="1:3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44531</v>
      </c>
      <c r="J236" s="4">
        <v>0</v>
      </c>
      <c r="K236" s="4">
        <v>0</v>
      </c>
      <c r="L236" s="4">
        <v>2454.1689999999999</v>
      </c>
      <c r="M236" s="4">
        <v>2454.1689999999999</v>
      </c>
      <c r="N236" s="4">
        <v>2454.1689999999999</v>
      </c>
      <c r="O236" s="4">
        <v>2454.1689999999999</v>
      </c>
      <c r="P236" s="4">
        <v>11985</v>
      </c>
      <c r="Q236" s="3" t="s">
        <v>26</v>
      </c>
      <c r="R236" s="3">
        <v>0</v>
      </c>
      <c r="S236" s="4">
        <v>0</v>
      </c>
      <c r="T236" s="4">
        <v>34</v>
      </c>
      <c r="U236" s="4">
        <v>83</v>
      </c>
      <c r="V236" s="4">
        <f>IF(ISERROR(VLOOKUP($S$236,'TAR FIN'!$A$1:$O$88,15,0)),0,VLOOKUP($S$236,'TAR FIN'!$A$1:$O$88,15,0))</f>
        <v>0</v>
      </c>
      <c r="W236" s="4">
        <f>IF(ISERROR(VLOOKUP($T$236,'TAR FIN'!$A$1:$O$88,15,0)),0,VLOOKUP($T$236,'TAR FIN'!$A$1:$O$88,15,0))</f>
        <v>501.48</v>
      </c>
      <c r="X236" s="4">
        <f>IF(ISERROR(VLOOKUP($U$236,'TAR FIN'!$A$1:$O$88,15,0)),0,VLOOKUP($U$236,'TAR FIN'!$A$1:$O$88,15,0))</f>
        <v>150.26</v>
      </c>
      <c r="Y236" s="4"/>
      <c r="Z236" s="4">
        <f ca="1">('TUSD BE'!$AM$20+'TUSD BF'!$AM$20+'TUSD CVA'!$AM$20)*1</f>
        <v>590.21277757372172</v>
      </c>
      <c r="AA236" s="4">
        <f>('TE BE'!$AB$10+'TE BF'!$AB$10+'TE CVA'!$AB$10)*1</f>
        <v>136.62265710865657</v>
      </c>
      <c r="AB236" s="4">
        <f>$K$236*$V$236</f>
        <v>0</v>
      </c>
      <c r="AC236" s="4">
        <f>$M$236*$W$236</f>
        <v>1230716.6701199999</v>
      </c>
      <c r="AD236" s="4">
        <f>$O$236*$X$236</f>
        <v>368763.43393999996</v>
      </c>
      <c r="AE236" s="4">
        <f>$K$236*$Y$236</f>
        <v>0</v>
      </c>
      <c r="AF236" s="4">
        <f ca="1">$M$236*$Z$236</f>
        <v>1448481.902125323</v>
      </c>
      <c r="AG236" s="4">
        <f>$O$236*$AA$236</f>
        <v>335295.08977369458</v>
      </c>
    </row>
    <row r="237" spans="1:33" ht="11.25" customHeight="1" x14ac:dyDescent="0.25">
      <c r="A237" s="3" t="s">
        <v>27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-5.4290000000000003</v>
      </c>
      <c r="M237" s="4">
        <v>-5.4290000000000003</v>
      </c>
      <c r="N237" s="4">
        <v>-5.4290000000000003</v>
      </c>
      <c r="O237" s="4">
        <v>-5.4290000000000003</v>
      </c>
      <c r="P237" s="4">
        <v>0</v>
      </c>
      <c r="Q237" s="3" t="s">
        <v>26</v>
      </c>
      <c r="R237" s="3">
        <v>0</v>
      </c>
      <c r="S237" s="4">
        <v>0</v>
      </c>
      <c r="T237" s="4">
        <v>34</v>
      </c>
      <c r="U237" s="4">
        <v>83</v>
      </c>
      <c r="V237" s="4">
        <f>IF(ISERROR(VLOOKUP($S$237,'TAR FIN'!$A$1:$O$88,15,0)),0,VLOOKUP($S$237,'TAR FIN'!$A$1:$O$88,15,0))</f>
        <v>0</v>
      </c>
      <c r="W237" s="4">
        <f>IF(ISERROR(VLOOKUP($T$237,'TAR FIN'!$A$1:$O$88,15,0)),0,VLOOKUP($T$237,'TAR FIN'!$A$1:$O$88,15,0))</f>
        <v>501.48</v>
      </c>
      <c r="X237" s="4">
        <f>IF(ISERROR(VLOOKUP($U$237,'TAR FIN'!$A$1:$O$88,15,0)),0,VLOOKUP($U$237,'TAR FIN'!$A$1:$O$88,15,0))</f>
        <v>150.26</v>
      </c>
      <c r="Y237" s="4"/>
      <c r="Z237" s="4">
        <f ca="1">('TUSD BE'!$AM$20+'TUSD BF'!$AM$20+'TUSD CVA'!$AM$20)*1</f>
        <v>590.21277757372172</v>
      </c>
      <c r="AA237" s="4">
        <f>('TE BE'!$AB$10+'TE BF'!$AB$10+'TE CVA'!$AB$10)*1</f>
        <v>136.62265710865657</v>
      </c>
      <c r="AB237" s="4">
        <f>$K$237*$V$237</f>
        <v>0</v>
      </c>
      <c r="AC237" s="4">
        <f>$M$237*$W$237</f>
        <v>-2722.5349200000001</v>
      </c>
      <c r="AD237" s="4">
        <f>$O$237*$X$237</f>
        <v>-815.76153999999997</v>
      </c>
      <c r="AE237" s="4">
        <f>$K$237*$Y$237</f>
        <v>0</v>
      </c>
      <c r="AF237" s="4">
        <f ca="1">$M$237*$Z$237</f>
        <v>-3204.2651694477354</v>
      </c>
      <c r="AG237" s="4">
        <f>$O$237*$AA$237</f>
        <v>-741.72440544289657</v>
      </c>
    </row>
    <row r="238" spans="1:33" ht="11.25" customHeight="1" x14ac:dyDescent="0.25">
      <c r="A238" s="3" t="s">
        <v>28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44531</v>
      </c>
      <c r="J238" s="4">
        <v>0</v>
      </c>
      <c r="K238" s="4">
        <v>0</v>
      </c>
      <c r="L238" s="4">
        <v>6.2380000000000004</v>
      </c>
      <c r="M238" s="4">
        <v>6.2380000000000004</v>
      </c>
      <c r="N238" s="4">
        <v>6.2380000000000004</v>
      </c>
      <c r="O238" s="4">
        <v>6.2380000000000004</v>
      </c>
      <c r="P238" s="4">
        <v>65</v>
      </c>
      <c r="Q238" s="3" t="s">
        <v>26</v>
      </c>
      <c r="R238" s="3">
        <v>0</v>
      </c>
      <c r="S238" s="4">
        <v>0</v>
      </c>
      <c r="T238" s="4">
        <v>34</v>
      </c>
      <c r="U238" s="4">
        <v>83</v>
      </c>
      <c r="V238" s="4">
        <f>IF(ISERROR(VLOOKUP($S$238,'TAR FIN'!$A$1:$O$88,15,0)),0,VLOOKUP($S$238,'TAR FIN'!$A$1:$O$88,15,0))</f>
        <v>0</v>
      </c>
      <c r="W238" s="4">
        <f>IF(ISERROR(VLOOKUP($T$238,'TAR FIN'!$A$1:$O$88,15,0)),0,VLOOKUP($T$238,'TAR FIN'!$A$1:$O$88,15,0))</f>
        <v>501.48</v>
      </c>
      <c r="X238" s="4">
        <f>IF(ISERROR(VLOOKUP($U$238,'TAR FIN'!$A$1:$O$88,15,0)),0,VLOOKUP($U$238,'TAR FIN'!$A$1:$O$88,15,0))</f>
        <v>150.26</v>
      </c>
      <c r="Y238" s="4"/>
      <c r="Z238" s="4">
        <f ca="1">('TUSD BE'!$AM$20+'TUSD BF'!$AM$20+'TUSD CVA'!$AM$20)*1</f>
        <v>590.21277757372172</v>
      </c>
      <c r="AA238" s="4">
        <f>('TE BE'!$AB$10+'TE BF'!$AB$10+'TE CVA'!$AB$10)*1</f>
        <v>136.62265710865657</v>
      </c>
      <c r="AB238" s="4">
        <f>$K$238*$V$238</f>
        <v>0</v>
      </c>
      <c r="AC238" s="4">
        <f>$M$238*$W$238</f>
        <v>3128.2322400000003</v>
      </c>
      <c r="AD238" s="4">
        <f>$O$238*$X$238</f>
        <v>937.32187999999996</v>
      </c>
      <c r="AE238" s="4">
        <f>$K$238*$Y$238</f>
        <v>0</v>
      </c>
      <c r="AF238" s="4">
        <f ca="1">$M$238*$Z$238</f>
        <v>3681.7473065048762</v>
      </c>
      <c r="AG238" s="4">
        <f>$O$238*$AA$238</f>
        <v>852.25213504379974</v>
      </c>
    </row>
    <row r="239" spans="1:3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44562</v>
      </c>
      <c r="J239" s="4">
        <v>0</v>
      </c>
      <c r="K239" s="4">
        <v>0</v>
      </c>
      <c r="L239" s="4">
        <v>2980.8110000000001</v>
      </c>
      <c r="M239" s="4">
        <v>2980.8110000000001</v>
      </c>
      <c r="N239" s="4">
        <v>2980.8110000000001</v>
      </c>
      <c r="O239" s="4">
        <v>2980.8110000000001</v>
      </c>
      <c r="P239" s="4">
        <v>11989</v>
      </c>
      <c r="Q239" s="3" t="s">
        <v>26</v>
      </c>
      <c r="R239" s="3">
        <v>0</v>
      </c>
      <c r="S239" s="4">
        <v>0</v>
      </c>
      <c r="T239" s="4">
        <v>34</v>
      </c>
      <c r="U239" s="4">
        <v>83</v>
      </c>
      <c r="V239" s="4">
        <f>IF(ISERROR(VLOOKUP($S$239,'TAR FIN'!$A$1:$O$88,15,0)),0,VLOOKUP($S$239,'TAR FIN'!$A$1:$O$88,15,0))</f>
        <v>0</v>
      </c>
      <c r="W239" s="4">
        <f>IF(ISERROR(VLOOKUP($T$239,'TAR FIN'!$A$1:$O$88,15,0)),0,VLOOKUP($T$239,'TAR FIN'!$A$1:$O$88,15,0))</f>
        <v>501.48</v>
      </c>
      <c r="X239" s="4">
        <f>IF(ISERROR(VLOOKUP($U$239,'TAR FIN'!$A$1:$O$88,15,0)),0,VLOOKUP($U$239,'TAR FIN'!$A$1:$O$88,15,0))</f>
        <v>150.26</v>
      </c>
      <c r="Y239" s="4"/>
      <c r="Z239" s="4">
        <f ca="1">('TUSD BE'!$AM$20+'TUSD BF'!$AM$20+'TUSD CVA'!$AM$20)*1</f>
        <v>590.21277757372172</v>
      </c>
      <c r="AA239" s="4">
        <f>('TE BE'!$AB$10+'TE BF'!$AB$10+'TE CVA'!$AB$10)*1</f>
        <v>136.62265710865657</v>
      </c>
      <c r="AB239" s="4">
        <f>$K$239*$V$239</f>
        <v>0</v>
      </c>
      <c r="AC239" s="4">
        <f>$M$239*$W$239</f>
        <v>1494817.1002800001</v>
      </c>
      <c r="AD239" s="4">
        <f>$O$239*$X$239</f>
        <v>447896.66086</v>
      </c>
      <c r="AE239" s="4">
        <f>$K$239*$Y$239</f>
        <v>0</v>
      </c>
      <c r="AF239" s="4">
        <f ca="1">$M$239*$Z$239</f>
        <v>1759312.7397323032</v>
      </c>
      <c r="AG239" s="4">
        <f>$O$239*$AA$239</f>
        <v>407246.3191587117</v>
      </c>
    </row>
    <row r="240" spans="1:33" ht="11.25" customHeight="1" x14ac:dyDescent="0.25">
      <c r="A240" s="3" t="s">
        <v>27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44562</v>
      </c>
      <c r="J240" s="4">
        <v>0</v>
      </c>
      <c r="K240" s="4">
        <v>0</v>
      </c>
      <c r="L240" s="4">
        <v>-3.6970000000000001</v>
      </c>
      <c r="M240" s="4">
        <v>-3.6970000000000001</v>
      </c>
      <c r="N240" s="4">
        <v>-3.6970000000000001</v>
      </c>
      <c r="O240" s="4">
        <v>-3.6970000000000001</v>
      </c>
      <c r="P240" s="4">
        <v>0</v>
      </c>
      <c r="Q240" s="3" t="s">
        <v>26</v>
      </c>
      <c r="R240" s="3">
        <v>0</v>
      </c>
      <c r="S240" s="4">
        <v>0</v>
      </c>
      <c r="T240" s="4">
        <v>34</v>
      </c>
      <c r="U240" s="4">
        <v>83</v>
      </c>
      <c r="V240" s="4">
        <f>IF(ISERROR(VLOOKUP($S$240,'TAR FIN'!$A$1:$O$88,15,0)),0,VLOOKUP($S$240,'TAR FIN'!$A$1:$O$88,15,0))</f>
        <v>0</v>
      </c>
      <c r="W240" s="4">
        <f>IF(ISERROR(VLOOKUP($T$240,'TAR FIN'!$A$1:$O$88,15,0)),0,VLOOKUP($T$240,'TAR FIN'!$A$1:$O$88,15,0))</f>
        <v>501.48</v>
      </c>
      <c r="X240" s="4">
        <f>IF(ISERROR(VLOOKUP($U$240,'TAR FIN'!$A$1:$O$88,15,0)),0,VLOOKUP($U$240,'TAR FIN'!$A$1:$O$88,15,0))</f>
        <v>150.26</v>
      </c>
      <c r="Y240" s="4"/>
      <c r="Z240" s="4">
        <f ca="1">('TUSD BE'!$AM$20+'TUSD BF'!$AM$20+'TUSD CVA'!$AM$20)*1</f>
        <v>590.21277757372172</v>
      </c>
      <c r="AA240" s="4">
        <f>('TE BE'!$AB$10+'TE BF'!$AB$10+'TE CVA'!$AB$10)*1</f>
        <v>136.62265710865657</v>
      </c>
      <c r="AB240" s="4">
        <f>$K$240*$V$240</f>
        <v>0</v>
      </c>
      <c r="AC240" s="4">
        <f>$M$240*$W$240</f>
        <v>-1853.9715600000002</v>
      </c>
      <c r="AD240" s="4">
        <f>$O$240*$X$240</f>
        <v>-555.51121999999998</v>
      </c>
      <c r="AE240" s="4">
        <f>$K$240*$Y$240</f>
        <v>0</v>
      </c>
      <c r="AF240" s="4">
        <f ca="1">$M$240*$Z$240</f>
        <v>-2182.0166386900491</v>
      </c>
      <c r="AG240" s="4">
        <f>$O$240*$AA$240</f>
        <v>-505.09396333070333</v>
      </c>
    </row>
    <row r="241" spans="1:33" ht="11.25" customHeight="1" x14ac:dyDescent="0.25">
      <c r="A241" s="3" t="s">
        <v>28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44562</v>
      </c>
      <c r="J241" s="4">
        <v>0</v>
      </c>
      <c r="K241" s="4">
        <v>0</v>
      </c>
      <c r="L241" s="4">
        <v>6.7140000000000004</v>
      </c>
      <c r="M241" s="4">
        <v>6.7140000000000004</v>
      </c>
      <c r="N241" s="4">
        <v>6.7140000000000004</v>
      </c>
      <c r="O241" s="4">
        <v>6.7140000000000004</v>
      </c>
      <c r="P241" s="4">
        <v>70</v>
      </c>
      <c r="Q241" s="3" t="s">
        <v>26</v>
      </c>
      <c r="R241" s="3">
        <v>0</v>
      </c>
      <c r="S241" s="4">
        <v>0</v>
      </c>
      <c r="T241" s="4">
        <v>34</v>
      </c>
      <c r="U241" s="4">
        <v>83</v>
      </c>
      <c r="V241" s="4">
        <f>IF(ISERROR(VLOOKUP($S$241,'TAR FIN'!$A$1:$O$88,15,0)),0,VLOOKUP($S$241,'TAR FIN'!$A$1:$O$88,15,0))</f>
        <v>0</v>
      </c>
      <c r="W241" s="4">
        <f>IF(ISERROR(VLOOKUP($T$241,'TAR FIN'!$A$1:$O$88,15,0)),0,VLOOKUP($T$241,'TAR FIN'!$A$1:$O$88,15,0))</f>
        <v>501.48</v>
      </c>
      <c r="X241" s="4">
        <f>IF(ISERROR(VLOOKUP($U$241,'TAR FIN'!$A$1:$O$88,15,0)),0,VLOOKUP($U$241,'TAR FIN'!$A$1:$O$88,15,0))</f>
        <v>150.26</v>
      </c>
      <c r="Y241" s="4"/>
      <c r="Z241" s="4">
        <f ca="1">('TUSD BE'!$AM$20+'TUSD BF'!$AM$20+'TUSD CVA'!$AM$20)*1</f>
        <v>590.21277757372172</v>
      </c>
      <c r="AA241" s="4">
        <f>('TE BE'!$AB$10+'TE BF'!$AB$10+'TE CVA'!$AB$10)*1</f>
        <v>136.62265710865657</v>
      </c>
      <c r="AB241" s="4">
        <f>$K$241*$V$241</f>
        <v>0</v>
      </c>
      <c r="AC241" s="4">
        <f>$M$241*$W$241</f>
        <v>3366.9367200000002</v>
      </c>
      <c r="AD241" s="4">
        <f>$O$241*$X$241</f>
        <v>1008.84564</v>
      </c>
      <c r="AE241" s="4">
        <f>$K$241*$Y$241</f>
        <v>0</v>
      </c>
      <c r="AF241" s="4">
        <f ca="1">$M$241*$Z$241</f>
        <v>3962.6885886299679</v>
      </c>
      <c r="AG241" s="4">
        <f>$O$241*$AA$241</f>
        <v>917.28451982752028</v>
      </c>
    </row>
    <row r="242" spans="1:3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44593</v>
      </c>
      <c r="J242" s="4">
        <v>0</v>
      </c>
      <c r="K242" s="4">
        <v>0</v>
      </c>
      <c r="L242" s="4">
        <v>3002.5219999999999</v>
      </c>
      <c r="M242" s="4">
        <v>3002.5219999999999</v>
      </c>
      <c r="N242" s="4">
        <v>3002.5219999999999</v>
      </c>
      <c r="O242" s="4">
        <v>3002.5219999999999</v>
      </c>
      <c r="P242" s="4">
        <v>11991</v>
      </c>
      <c r="Q242" s="3" t="s">
        <v>26</v>
      </c>
      <c r="R242" s="3">
        <v>0</v>
      </c>
      <c r="S242" s="4">
        <v>0</v>
      </c>
      <c r="T242" s="4">
        <v>34</v>
      </c>
      <c r="U242" s="4">
        <v>83</v>
      </c>
      <c r="V242" s="4">
        <f>IF(ISERROR(VLOOKUP($S$242,'TAR FIN'!$A$1:$O$88,15,0)),0,VLOOKUP($S$242,'TAR FIN'!$A$1:$O$88,15,0))</f>
        <v>0</v>
      </c>
      <c r="W242" s="4">
        <f>IF(ISERROR(VLOOKUP($T$242,'TAR FIN'!$A$1:$O$88,15,0)),0,VLOOKUP($T$242,'TAR FIN'!$A$1:$O$88,15,0))</f>
        <v>501.48</v>
      </c>
      <c r="X242" s="4">
        <f>IF(ISERROR(VLOOKUP($U$242,'TAR FIN'!$A$1:$O$88,15,0)),0,VLOOKUP($U$242,'TAR FIN'!$A$1:$O$88,15,0))</f>
        <v>150.26</v>
      </c>
      <c r="Y242" s="4"/>
      <c r="Z242" s="4">
        <f ca="1">('TUSD BE'!$AM$20+'TUSD BF'!$AM$20+'TUSD CVA'!$AM$20)*1</f>
        <v>590.21277757372172</v>
      </c>
      <c r="AA242" s="4">
        <f>('TE BE'!$AB$10+'TE BF'!$AB$10+'TE CVA'!$AB$10)*1</f>
        <v>136.62265710865657</v>
      </c>
      <c r="AB242" s="4">
        <f>$K$242*$V$242</f>
        <v>0</v>
      </c>
      <c r="AC242" s="4">
        <f>$M$242*$W$242</f>
        <v>1505704.7325599999</v>
      </c>
      <c r="AD242" s="4">
        <f>$O$242*$X$242</f>
        <v>451158.95571999997</v>
      </c>
      <c r="AE242" s="4">
        <f>$K$242*$Y$242</f>
        <v>0</v>
      </c>
      <c r="AF242" s="4">
        <f ca="1">$M$242*$Z$242</f>
        <v>1772126.8493462061</v>
      </c>
      <c r="AG242" s="4">
        <f>$O$242*$AA$242</f>
        <v>410212.53366719774</v>
      </c>
    </row>
    <row r="243" spans="1:33" ht="11.25" customHeight="1" x14ac:dyDescent="0.25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0</v>
      </c>
      <c r="K243" s="4">
        <v>0</v>
      </c>
      <c r="L243" s="4">
        <v>-2.105</v>
      </c>
      <c r="M243" s="4">
        <v>-2.105</v>
      </c>
      <c r="N243" s="4">
        <v>-2.105</v>
      </c>
      <c r="O243" s="4">
        <v>-2.105</v>
      </c>
      <c r="P243" s="4">
        <v>0</v>
      </c>
      <c r="Q243" s="3" t="s">
        <v>26</v>
      </c>
      <c r="R243" s="3">
        <v>0</v>
      </c>
      <c r="S243" s="4">
        <v>0</v>
      </c>
      <c r="T243" s="4">
        <v>34</v>
      </c>
      <c r="U243" s="4">
        <v>83</v>
      </c>
      <c r="V243" s="4">
        <f>IF(ISERROR(VLOOKUP($S$243,'TAR FIN'!$A$1:$O$88,15,0)),0,VLOOKUP($S$243,'TAR FIN'!$A$1:$O$88,15,0))</f>
        <v>0</v>
      </c>
      <c r="W243" s="4">
        <f>IF(ISERROR(VLOOKUP($T$243,'TAR FIN'!$A$1:$O$88,15,0)),0,VLOOKUP($T$243,'TAR FIN'!$A$1:$O$88,15,0))</f>
        <v>501.48</v>
      </c>
      <c r="X243" s="4">
        <f>IF(ISERROR(VLOOKUP($U$243,'TAR FIN'!$A$1:$O$88,15,0)),0,VLOOKUP($U$243,'TAR FIN'!$A$1:$O$88,15,0))</f>
        <v>150.26</v>
      </c>
      <c r="Y243" s="4"/>
      <c r="Z243" s="4">
        <f ca="1">('TUSD BE'!$AM$20+'TUSD BF'!$AM$20+'TUSD CVA'!$AM$20)*1</f>
        <v>590.21277757372172</v>
      </c>
      <c r="AA243" s="4">
        <f>('TE BE'!$AB$10+'TE BF'!$AB$10+'TE CVA'!$AB$10)*1</f>
        <v>136.62265710865657</v>
      </c>
      <c r="AB243" s="4">
        <f>$K$243*$V$243</f>
        <v>0</v>
      </c>
      <c r="AC243" s="4">
        <f>$M$243*$W$243</f>
        <v>-1055.6154000000001</v>
      </c>
      <c r="AD243" s="4">
        <f>$O$243*$X$243</f>
        <v>-316.29729999999995</v>
      </c>
      <c r="AE243" s="4">
        <f>$K$243*$Y$243</f>
        <v>0</v>
      </c>
      <c r="AF243" s="4">
        <f ca="1">$M$243*$Z$243</f>
        <v>-1242.3978967926842</v>
      </c>
      <c r="AG243" s="4">
        <f>$O$243*$AA$243</f>
        <v>-287.59069321372209</v>
      </c>
    </row>
    <row r="244" spans="1:3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0</v>
      </c>
      <c r="K244" s="4">
        <v>0</v>
      </c>
      <c r="L244" s="4">
        <v>11.693</v>
      </c>
      <c r="M244" s="4">
        <v>11.693</v>
      </c>
      <c r="N244" s="4">
        <v>11.693</v>
      </c>
      <c r="O244" s="4">
        <v>11.693</v>
      </c>
      <c r="P244" s="4">
        <v>82</v>
      </c>
      <c r="Q244" s="3" t="s">
        <v>26</v>
      </c>
      <c r="R244" s="3">
        <v>0</v>
      </c>
      <c r="S244" s="4">
        <v>0</v>
      </c>
      <c r="T244" s="4">
        <v>34</v>
      </c>
      <c r="U244" s="4">
        <v>83</v>
      </c>
      <c r="V244" s="4">
        <f>IF(ISERROR(VLOOKUP($S$244,'TAR FIN'!$A$1:$O$88,15,0)),0,VLOOKUP($S$244,'TAR FIN'!$A$1:$O$88,15,0))</f>
        <v>0</v>
      </c>
      <c r="W244" s="4">
        <f>IF(ISERROR(VLOOKUP($T$244,'TAR FIN'!$A$1:$O$88,15,0)),0,VLOOKUP($T$244,'TAR FIN'!$A$1:$O$88,15,0))</f>
        <v>501.48</v>
      </c>
      <c r="X244" s="4">
        <f>IF(ISERROR(VLOOKUP($U$244,'TAR FIN'!$A$1:$O$88,15,0)),0,VLOOKUP($U$244,'TAR FIN'!$A$1:$O$88,15,0))</f>
        <v>150.26</v>
      </c>
      <c r="Y244" s="4"/>
      <c r="Z244" s="4">
        <f ca="1">('TUSD BE'!$AM$20+'TUSD BF'!$AM$20+'TUSD CVA'!$AM$20)*1</f>
        <v>590.21277757372172</v>
      </c>
      <c r="AA244" s="4">
        <f>('TE BE'!$AB$10+'TE BF'!$AB$10+'TE CVA'!$AB$10)*1</f>
        <v>136.62265710865657</v>
      </c>
      <c r="AB244" s="4">
        <f>$K$244*$V$244</f>
        <v>0</v>
      </c>
      <c r="AC244" s="4">
        <f>$M$244*$W$244</f>
        <v>5863.8056399999996</v>
      </c>
      <c r="AD244" s="4">
        <f>$O$244*$X$244</f>
        <v>1756.9901799999998</v>
      </c>
      <c r="AE244" s="4">
        <f>$K$244*$Y$244</f>
        <v>0</v>
      </c>
      <c r="AF244" s="4">
        <f ca="1">$M$244*$Z$244</f>
        <v>6901.3580081695281</v>
      </c>
      <c r="AG244" s="4">
        <f>$O$244*$AA$244</f>
        <v>1597.5287295715211</v>
      </c>
    </row>
    <row r="245" spans="1:3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0</v>
      </c>
      <c r="K245" s="4">
        <v>0</v>
      </c>
      <c r="L245" s="4">
        <v>2763.9760000000001</v>
      </c>
      <c r="M245" s="4">
        <v>2763.9760000000001</v>
      </c>
      <c r="N245" s="4">
        <v>2763.9760000000001</v>
      </c>
      <c r="O245" s="4">
        <v>2763.9760000000001</v>
      </c>
      <c r="P245" s="4">
        <v>11984</v>
      </c>
      <c r="Q245" s="3" t="s">
        <v>26</v>
      </c>
      <c r="R245" s="3">
        <v>0</v>
      </c>
      <c r="S245" s="4">
        <v>0</v>
      </c>
      <c r="T245" s="4">
        <v>34</v>
      </c>
      <c r="U245" s="4">
        <v>83</v>
      </c>
      <c r="V245" s="4">
        <f>IF(ISERROR(VLOOKUP($S$245,'TAR FIN'!$A$1:$O$88,15,0)),0,VLOOKUP($S$245,'TAR FIN'!$A$1:$O$88,15,0))</f>
        <v>0</v>
      </c>
      <c r="W245" s="4">
        <f>IF(ISERROR(VLOOKUP($T$245,'TAR FIN'!$A$1:$O$88,15,0)),0,VLOOKUP($T$245,'TAR FIN'!$A$1:$O$88,15,0))</f>
        <v>501.48</v>
      </c>
      <c r="X245" s="4">
        <f>IF(ISERROR(VLOOKUP($U$245,'TAR FIN'!$A$1:$O$88,15,0)),0,VLOOKUP($U$245,'TAR FIN'!$A$1:$O$88,15,0))</f>
        <v>150.26</v>
      </c>
      <c r="Y245" s="4"/>
      <c r="Z245" s="4">
        <f ca="1">('TUSD BE'!$AM$20+'TUSD BF'!$AM$20+'TUSD CVA'!$AM$20)*1</f>
        <v>590.21277757372172</v>
      </c>
      <c r="AA245" s="4">
        <f>('TE BE'!$AB$10+'TE BF'!$AB$10+'TE CVA'!$AB$10)*1</f>
        <v>136.62265710865657</v>
      </c>
      <c r="AB245" s="4">
        <f>$K$245*$V$245</f>
        <v>0</v>
      </c>
      <c r="AC245" s="4">
        <f>$M$245*$W$245</f>
        <v>1386078.6844800001</v>
      </c>
      <c r="AD245" s="4">
        <f>$O$245*$X$245</f>
        <v>415315.03376000002</v>
      </c>
      <c r="AE245" s="4">
        <f>$K$245*$Y$245</f>
        <v>0</v>
      </c>
      <c r="AF245" s="4">
        <f ca="1">$M$245*$Z$245</f>
        <v>1631333.9521071052</v>
      </c>
      <c r="AG245" s="4">
        <f>$O$245*$AA$245</f>
        <v>377621.74530455616</v>
      </c>
    </row>
    <row r="246" spans="1:33" ht="11.25" customHeight="1" x14ac:dyDescent="0.25">
      <c r="A246" s="3" t="s">
        <v>27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0</v>
      </c>
      <c r="K246" s="4">
        <v>0</v>
      </c>
      <c r="L246" s="4">
        <v>-4.5149999999999997</v>
      </c>
      <c r="M246" s="4">
        <v>-4.5149999999999997</v>
      </c>
      <c r="N246" s="4">
        <v>-4.5149999999999997</v>
      </c>
      <c r="O246" s="4">
        <v>-4.5149999999999997</v>
      </c>
      <c r="P246" s="4">
        <v>0</v>
      </c>
      <c r="Q246" s="3" t="s">
        <v>26</v>
      </c>
      <c r="R246" s="3">
        <v>0</v>
      </c>
      <c r="S246" s="4">
        <v>0</v>
      </c>
      <c r="T246" s="4">
        <v>34</v>
      </c>
      <c r="U246" s="4">
        <v>83</v>
      </c>
      <c r="V246" s="4">
        <f>IF(ISERROR(VLOOKUP($S$246,'TAR FIN'!$A$1:$O$88,15,0)),0,VLOOKUP($S$246,'TAR FIN'!$A$1:$O$88,15,0))</f>
        <v>0</v>
      </c>
      <c r="W246" s="4">
        <f>IF(ISERROR(VLOOKUP($T$246,'TAR FIN'!$A$1:$O$88,15,0)),0,VLOOKUP($T$246,'TAR FIN'!$A$1:$O$88,15,0))</f>
        <v>501.48</v>
      </c>
      <c r="X246" s="4">
        <f>IF(ISERROR(VLOOKUP($U$246,'TAR FIN'!$A$1:$O$88,15,0)),0,VLOOKUP($U$246,'TAR FIN'!$A$1:$O$88,15,0))</f>
        <v>150.26</v>
      </c>
      <c r="Y246" s="4"/>
      <c r="Z246" s="4">
        <f ca="1">('TUSD BE'!$AM$20+'TUSD BF'!$AM$20+'TUSD CVA'!$AM$20)*1</f>
        <v>590.21277757372172</v>
      </c>
      <c r="AA246" s="4">
        <f>('TE BE'!$AB$10+'TE BF'!$AB$10+'TE CVA'!$AB$10)*1</f>
        <v>136.62265710865657</v>
      </c>
      <c r="AB246" s="4">
        <f>$K$246*$V$246</f>
        <v>0</v>
      </c>
      <c r="AC246" s="4">
        <f>$M$246*$W$246</f>
        <v>-2264.1821999999997</v>
      </c>
      <c r="AD246" s="4">
        <f>$O$246*$X$246</f>
        <v>-678.42389999999989</v>
      </c>
      <c r="AE246" s="4">
        <f>$K$246*$Y$246</f>
        <v>0</v>
      </c>
      <c r="AF246" s="4">
        <f ca="1">$M$246*$Z$246</f>
        <v>-2664.8106907453534</v>
      </c>
      <c r="AG246" s="4">
        <f>$O$246*$AA$246</f>
        <v>-616.85129684558433</v>
      </c>
    </row>
    <row r="247" spans="1:33" ht="11.25" customHeight="1" x14ac:dyDescent="0.25">
      <c r="A247" s="3" t="s">
        <v>28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0</v>
      </c>
      <c r="K247" s="4">
        <v>0</v>
      </c>
      <c r="L247" s="4">
        <v>11.647</v>
      </c>
      <c r="M247" s="4">
        <v>11.647</v>
      </c>
      <c r="N247" s="4">
        <v>11.647</v>
      </c>
      <c r="O247" s="4">
        <v>11.647</v>
      </c>
      <c r="P247" s="4">
        <v>90</v>
      </c>
      <c r="Q247" s="3" t="s">
        <v>26</v>
      </c>
      <c r="R247" s="3">
        <v>0</v>
      </c>
      <c r="S247" s="4">
        <v>0</v>
      </c>
      <c r="T247" s="4">
        <v>34</v>
      </c>
      <c r="U247" s="4">
        <v>83</v>
      </c>
      <c r="V247" s="4">
        <f>IF(ISERROR(VLOOKUP($S$247,'TAR FIN'!$A$1:$O$88,15,0)),0,VLOOKUP($S$247,'TAR FIN'!$A$1:$O$88,15,0))</f>
        <v>0</v>
      </c>
      <c r="W247" s="4">
        <f>IF(ISERROR(VLOOKUP($T$247,'TAR FIN'!$A$1:$O$88,15,0)),0,VLOOKUP($T$247,'TAR FIN'!$A$1:$O$88,15,0))</f>
        <v>501.48</v>
      </c>
      <c r="X247" s="4">
        <f>IF(ISERROR(VLOOKUP($U$247,'TAR FIN'!$A$1:$O$88,15,0)),0,VLOOKUP($U$247,'TAR FIN'!$A$1:$O$88,15,0))</f>
        <v>150.26</v>
      </c>
      <c r="Y247" s="4"/>
      <c r="Z247" s="4">
        <f ca="1">('TUSD BE'!$AM$20+'TUSD BF'!$AM$20+'TUSD CVA'!$AM$20)*1</f>
        <v>590.21277757372172</v>
      </c>
      <c r="AA247" s="4">
        <f>('TE BE'!$AB$10+'TE BF'!$AB$10+'TE CVA'!$AB$10)*1</f>
        <v>136.62265710865657</v>
      </c>
      <c r="AB247" s="4">
        <f>$K$247*$V$247</f>
        <v>0</v>
      </c>
      <c r="AC247" s="4">
        <f>$M$247*$W$247</f>
        <v>5840.7375600000005</v>
      </c>
      <c r="AD247" s="4">
        <f>$O$247*$X$247</f>
        <v>1750.0782199999999</v>
      </c>
      <c r="AE247" s="4">
        <f>$K$247*$Y$247</f>
        <v>0</v>
      </c>
      <c r="AF247" s="4">
        <f ca="1">$M$247*$Z$247</f>
        <v>6874.2082204011367</v>
      </c>
      <c r="AG247" s="4">
        <f>$O$247*$AA$247</f>
        <v>1591.244087344523</v>
      </c>
    </row>
    <row r="248" spans="1:3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0</v>
      </c>
      <c r="K248" s="4">
        <v>0</v>
      </c>
      <c r="L248" s="4">
        <v>2415.0230000000001</v>
      </c>
      <c r="M248" s="4">
        <v>2415.0230000000001</v>
      </c>
      <c r="N248" s="4">
        <v>2415.0230000000001</v>
      </c>
      <c r="O248" s="4">
        <v>2415.0230000000001</v>
      </c>
      <c r="P248" s="4">
        <v>12000</v>
      </c>
      <c r="Q248" s="3" t="s">
        <v>26</v>
      </c>
      <c r="R248" s="3">
        <v>0</v>
      </c>
      <c r="S248" s="4">
        <v>0</v>
      </c>
      <c r="T248" s="4">
        <v>34</v>
      </c>
      <c r="U248" s="4">
        <v>83</v>
      </c>
      <c r="V248" s="4">
        <f>IF(ISERROR(VLOOKUP($S$248,'TAR FIN'!$A$1:$O$88,15,0)),0,VLOOKUP($S$248,'TAR FIN'!$A$1:$O$88,15,0))</f>
        <v>0</v>
      </c>
      <c r="W248" s="4">
        <f>IF(ISERROR(VLOOKUP($T$248,'TAR FIN'!$A$1:$O$88,15,0)),0,VLOOKUP($T$248,'TAR FIN'!$A$1:$O$88,15,0))</f>
        <v>501.48</v>
      </c>
      <c r="X248" s="4">
        <f>IF(ISERROR(VLOOKUP($U$248,'TAR FIN'!$A$1:$O$88,15,0)),0,VLOOKUP($U$248,'TAR FIN'!$A$1:$O$88,15,0))</f>
        <v>150.26</v>
      </c>
      <c r="Y248" s="4"/>
      <c r="Z248" s="4">
        <f ca="1">('TUSD BE'!$AM$20+'TUSD BF'!$AM$20+'TUSD CVA'!$AM$20)*1</f>
        <v>590.21277757372172</v>
      </c>
      <c r="AA248" s="4">
        <f>('TE BE'!$AB$10+'TE BF'!$AB$10+'TE CVA'!$AB$10)*1</f>
        <v>136.62265710865657</v>
      </c>
      <c r="AB248" s="4">
        <f>$K$248*$V$248</f>
        <v>0</v>
      </c>
      <c r="AC248" s="4">
        <f>$M$248*$W$248</f>
        <v>1211085.73404</v>
      </c>
      <c r="AD248" s="4">
        <f>$O$248*$X$248</f>
        <v>362881.35597999999</v>
      </c>
      <c r="AE248" s="4">
        <f>$K$248*$Y$248</f>
        <v>0</v>
      </c>
      <c r="AF248" s="4">
        <f ca="1">$M$248*$Z$248</f>
        <v>1425377.4327344222</v>
      </c>
      <c r="AG248" s="4">
        <f>$O$248*$AA$248</f>
        <v>329946.85923851916</v>
      </c>
    </row>
    <row r="249" spans="1:33" ht="11.25" customHeight="1" x14ac:dyDescent="0.25">
      <c r="A249" s="3" t="s">
        <v>27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4">
        <v>0</v>
      </c>
      <c r="L249" s="4">
        <v>-2.2850000000000001</v>
      </c>
      <c r="M249" s="4">
        <v>-2.2850000000000001</v>
      </c>
      <c r="N249" s="4">
        <v>-2.2850000000000001</v>
      </c>
      <c r="O249" s="4">
        <v>-2.2850000000000001</v>
      </c>
      <c r="P249" s="4">
        <v>0</v>
      </c>
      <c r="Q249" s="3" t="s">
        <v>26</v>
      </c>
      <c r="R249" s="3">
        <v>0</v>
      </c>
      <c r="S249" s="4">
        <v>0</v>
      </c>
      <c r="T249" s="4">
        <v>34</v>
      </c>
      <c r="U249" s="4">
        <v>83</v>
      </c>
      <c r="V249" s="4">
        <f>IF(ISERROR(VLOOKUP($S$249,'TAR FIN'!$A$1:$O$88,15,0)),0,VLOOKUP($S$249,'TAR FIN'!$A$1:$O$88,15,0))</f>
        <v>0</v>
      </c>
      <c r="W249" s="4">
        <f>IF(ISERROR(VLOOKUP($T$249,'TAR FIN'!$A$1:$O$88,15,0)),0,VLOOKUP($T$249,'TAR FIN'!$A$1:$O$88,15,0))</f>
        <v>501.48</v>
      </c>
      <c r="X249" s="4">
        <f>IF(ISERROR(VLOOKUP($U$249,'TAR FIN'!$A$1:$O$88,15,0)),0,VLOOKUP($U$249,'TAR FIN'!$A$1:$O$88,15,0))</f>
        <v>150.26</v>
      </c>
      <c r="Y249" s="4"/>
      <c r="Z249" s="4">
        <f ca="1">('TUSD BE'!$AM$20+'TUSD BF'!$AM$20+'TUSD CVA'!$AM$20)*1</f>
        <v>590.21277757372172</v>
      </c>
      <c r="AA249" s="4">
        <f>('TE BE'!$AB$10+'TE BF'!$AB$10+'TE CVA'!$AB$10)*1</f>
        <v>136.62265710865657</v>
      </c>
      <c r="AB249" s="4">
        <f>$K$249*$V$249</f>
        <v>0</v>
      </c>
      <c r="AC249" s="4">
        <f>$M$249*$W$249</f>
        <v>-1145.8818000000001</v>
      </c>
      <c r="AD249" s="4">
        <f>$O$249*$X$249</f>
        <v>-343.34410000000003</v>
      </c>
      <c r="AE249" s="4">
        <f>$K$249*$Y$249</f>
        <v>0</v>
      </c>
      <c r="AF249" s="4">
        <f ca="1">$M$249*$Z$249</f>
        <v>-1348.6361967559542</v>
      </c>
      <c r="AG249" s="4">
        <f>$O$249*$AA$249</f>
        <v>-312.18277149328026</v>
      </c>
    </row>
    <row r="250" spans="1:33" ht="11.25" customHeight="1" x14ac:dyDescent="0.25">
      <c r="A250" s="3" t="s">
        <v>28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0</v>
      </c>
      <c r="K250" s="4">
        <v>0</v>
      </c>
      <c r="L250" s="4">
        <v>11.023</v>
      </c>
      <c r="M250" s="4">
        <v>11.023</v>
      </c>
      <c r="N250" s="4">
        <v>11.023</v>
      </c>
      <c r="O250" s="4">
        <v>11.023</v>
      </c>
      <c r="P250" s="4">
        <v>97</v>
      </c>
      <c r="Q250" s="3" t="s">
        <v>26</v>
      </c>
      <c r="R250" s="3">
        <v>0</v>
      </c>
      <c r="S250" s="4">
        <v>0</v>
      </c>
      <c r="T250" s="4">
        <v>34</v>
      </c>
      <c r="U250" s="4">
        <v>83</v>
      </c>
      <c r="V250" s="4">
        <f>IF(ISERROR(VLOOKUP($S$250,'TAR FIN'!$A$1:$O$88,15,0)),0,VLOOKUP($S$250,'TAR FIN'!$A$1:$O$88,15,0))</f>
        <v>0</v>
      </c>
      <c r="W250" s="4">
        <f>IF(ISERROR(VLOOKUP($T$250,'TAR FIN'!$A$1:$O$88,15,0)),0,VLOOKUP($T$250,'TAR FIN'!$A$1:$O$88,15,0))</f>
        <v>501.48</v>
      </c>
      <c r="X250" s="4">
        <f>IF(ISERROR(VLOOKUP($U$250,'TAR FIN'!$A$1:$O$88,15,0)),0,VLOOKUP($U$250,'TAR FIN'!$A$1:$O$88,15,0))</f>
        <v>150.26</v>
      </c>
      <c r="Y250" s="4"/>
      <c r="Z250" s="4">
        <f ca="1">('TUSD BE'!$AM$20+'TUSD BF'!$AM$20+'TUSD CVA'!$AM$20)*1</f>
        <v>590.21277757372172</v>
      </c>
      <c r="AA250" s="4">
        <f>('TE BE'!$AB$10+'TE BF'!$AB$10+'TE CVA'!$AB$10)*1</f>
        <v>136.62265710865657</v>
      </c>
      <c r="AB250" s="4">
        <f>$K$250*$V$250</f>
        <v>0</v>
      </c>
      <c r="AC250" s="4">
        <f>$M$250*$W$250</f>
        <v>5527.8140400000002</v>
      </c>
      <c r="AD250" s="4">
        <f>$O$250*$X$250</f>
        <v>1656.3159799999999</v>
      </c>
      <c r="AE250" s="4">
        <f>$K$250*$Y$250</f>
        <v>0</v>
      </c>
      <c r="AF250" s="4">
        <f ca="1">$M$250*$Z$250</f>
        <v>6505.9154471951342</v>
      </c>
      <c r="AG250" s="4">
        <f>$O$250*$AA$250</f>
        <v>1505.9915493087212</v>
      </c>
    </row>
    <row r="251" spans="1:3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44682</v>
      </c>
      <c r="J251" s="4">
        <v>0</v>
      </c>
      <c r="K251" s="4">
        <v>0</v>
      </c>
      <c r="L251" s="4">
        <v>2203.4090000000001</v>
      </c>
      <c r="M251" s="4">
        <v>2203.4090000000001</v>
      </c>
      <c r="N251" s="4">
        <v>2203.4090000000001</v>
      </c>
      <c r="O251" s="4">
        <v>2203.4090000000001</v>
      </c>
      <c r="P251" s="4">
        <v>11959</v>
      </c>
      <c r="Q251" s="3" t="s">
        <v>26</v>
      </c>
      <c r="R251" s="3">
        <v>0</v>
      </c>
      <c r="S251" s="4">
        <v>0</v>
      </c>
      <c r="T251" s="4">
        <v>34</v>
      </c>
      <c r="U251" s="4">
        <v>83</v>
      </c>
      <c r="V251" s="4">
        <f>IF(ISERROR(VLOOKUP($S$251,'TAR FIN'!$A$1:$O$88,15,0)),0,VLOOKUP($S$251,'TAR FIN'!$A$1:$O$88,15,0))</f>
        <v>0</v>
      </c>
      <c r="W251" s="4">
        <f>IF(ISERROR(VLOOKUP($T$251,'TAR FIN'!$A$1:$O$88,15,0)),0,VLOOKUP($T$251,'TAR FIN'!$A$1:$O$88,15,0))</f>
        <v>501.48</v>
      </c>
      <c r="X251" s="4">
        <f>IF(ISERROR(VLOOKUP($U$251,'TAR FIN'!$A$1:$O$88,15,0)),0,VLOOKUP($U$251,'TAR FIN'!$A$1:$O$88,15,0))</f>
        <v>150.26</v>
      </c>
      <c r="Y251" s="4"/>
      <c r="Z251" s="4">
        <f ca="1">('TUSD BE'!$AM$20+'TUSD BF'!$AM$20+'TUSD CVA'!$AM$20)*1</f>
        <v>590.21277757372172</v>
      </c>
      <c r="AA251" s="4">
        <f>('TE BE'!$AB$10+'TE BF'!$AB$10+'TE CVA'!$AB$10)*1</f>
        <v>136.62265710865657</v>
      </c>
      <c r="AB251" s="4">
        <f>$K$251*$V$251</f>
        <v>0</v>
      </c>
      <c r="AC251" s="4">
        <f>$M$251*$W$251</f>
        <v>1104965.54532</v>
      </c>
      <c r="AD251" s="4">
        <f>$O$251*$X$251</f>
        <v>331084.23634</v>
      </c>
      <c r="AE251" s="4">
        <f>$K$251*$Y$251</f>
        <v>0</v>
      </c>
      <c r="AF251" s="4">
        <f ca="1">$M$251*$Z$251</f>
        <v>1300480.1460209368</v>
      </c>
      <c r="AG251" s="4">
        <f>$O$251*$AA$251</f>
        <v>301035.5922771279</v>
      </c>
    </row>
    <row r="252" spans="1:33" ht="11.25" customHeight="1" x14ac:dyDescent="0.25">
      <c r="A252" s="3" t="s">
        <v>27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0</v>
      </c>
      <c r="K252" s="4">
        <v>0</v>
      </c>
      <c r="L252" s="4">
        <v>-3.4849999999999999</v>
      </c>
      <c r="M252" s="4">
        <v>-3.4849999999999999</v>
      </c>
      <c r="N252" s="4">
        <v>-3.4849999999999999</v>
      </c>
      <c r="O252" s="4">
        <v>-3.4849999999999999</v>
      </c>
      <c r="P252" s="4">
        <v>0</v>
      </c>
      <c r="Q252" s="3" t="s">
        <v>26</v>
      </c>
      <c r="R252" s="3">
        <v>0</v>
      </c>
      <c r="S252" s="4">
        <v>0</v>
      </c>
      <c r="T252" s="4">
        <v>34</v>
      </c>
      <c r="U252" s="4">
        <v>83</v>
      </c>
      <c r="V252" s="4">
        <f>IF(ISERROR(VLOOKUP($S$252,'TAR FIN'!$A$1:$O$88,15,0)),0,VLOOKUP($S$252,'TAR FIN'!$A$1:$O$88,15,0))</f>
        <v>0</v>
      </c>
      <c r="W252" s="4">
        <f>IF(ISERROR(VLOOKUP($T$252,'TAR FIN'!$A$1:$O$88,15,0)),0,VLOOKUP($T$252,'TAR FIN'!$A$1:$O$88,15,0))</f>
        <v>501.48</v>
      </c>
      <c r="X252" s="4">
        <f>IF(ISERROR(VLOOKUP($U$252,'TAR FIN'!$A$1:$O$88,15,0)),0,VLOOKUP($U$252,'TAR FIN'!$A$1:$O$88,15,0))</f>
        <v>150.26</v>
      </c>
      <c r="Y252" s="4"/>
      <c r="Z252" s="4">
        <f ca="1">('TUSD BE'!$AM$20+'TUSD BF'!$AM$20+'TUSD CVA'!$AM$20)*1</f>
        <v>590.21277757372172</v>
      </c>
      <c r="AA252" s="4">
        <f>('TE BE'!$AB$10+'TE BF'!$AB$10+'TE CVA'!$AB$10)*1</f>
        <v>136.62265710865657</v>
      </c>
      <c r="AB252" s="4">
        <f>$K$252*$V$252</f>
        <v>0</v>
      </c>
      <c r="AC252" s="4">
        <f>$M$252*$W$252</f>
        <v>-1747.6578</v>
      </c>
      <c r="AD252" s="4">
        <f>$O$252*$X$252</f>
        <v>-523.65609999999992</v>
      </c>
      <c r="AE252" s="4">
        <f>$K$252*$Y$252</f>
        <v>0</v>
      </c>
      <c r="AF252" s="4">
        <f ca="1">$M$252*$Z$252</f>
        <v>-2056.8915298444203</v>
      </c>
      <c r="AG252" s="4">
        <f>$O$252*$AA$252</f>
        <v>-476.1299600236681</v>
      </c>
    </row>
    <row r="253" spans="1:33" ht="11.25" customHeight="1" x14ac:dyDescent="0.25">
      <c r="A253" s="3" t="s">
        <v>28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44682</v>
      </c>
      <c r="J253" s="4">
        <v>0</v>
      </c>
      <c r="K253" s="4">
        <v>0</v>
      </c>
      <c r="L253" s="4">
        <v>13.932</v>
      </c>
      <c r="M253" s="4">
        <v>13.932</v>
      </c>
      <c r="N253" s="4">
        <v>13.932</v>
      </c>
      <c r="O253" s="4">
        <v>13.932</v>
      </c>
      <c r="P253" s="4">
        <v>112</v>
      </c>
      <c r="Q253" s="3" t="s">
        <v>26</v>
      </c>
      <c r="R253" s="3">
        <v>0</v>
      </c>
      <c r="S253" s="4">
        <v>0</v>
      </c>
      <c r="T253" s="4">
        <v>34</v>
      </c>
      <c r="U253" s="4">
        <v>83</v>
      </c>
      <c r="V253" s="4">
        <f>IF(ISERROR(VLOOKUP($S$253,'TAR FIN'!$A$1:$O$88,15,0)),0,VLOOKUP($S$253,'TAR FIN'!$A$1:$O$88,15,0))</f>
        <v>0</v>
      </c>
      <c r="W253" s="4">
        <f>IF(ISERROR(VLOOKUP($T$253,'TAR FIN'!$A$1:$O$88,15,0)),0,VLOOKUP($T$253,'TAR FIN'!$A$1:$O$88,15,0))</f>
        <v>501.48</v>
      </c>
      <c r="X253" s="4">
        <f>IF(ISERROR(VLOOKUP($U$253,'TAR FIN'!$A$1:$O$88,15,0)),0,VLOOKUP($U$253,'TAR FIN'!$A$1:$O$88,15,0))</f>
        <v>150.26</v>
      </c>
      <c r="Y253" s="4"/>
      <c r="Z253" s="4">
        <f ca="1">('TUSD BE'!$AM$20+'TUSD BF'!$AM$20+'TUSD CVA'!$AM$20)*1</f>
        <v>590.21277757372172</v>
      </c>
      <c r="AA253" s="4">
        <f>('TE BE'!$AB$10+'TE BF'!$AB$10+'TE CVA'!$AB$10)*1</f>
        <v>136.62265710865657</v>
      </c>
      <c r="AB253" s="4">
        <f>$K$253*$V$253</f>
        <v>0</v>
      </c>
      <c r="AC253" s="4">
        <f>$M$253*$W$253</f>
        <v>6986.6193600000006</v>
      </c>
      <c r="AD253" s="4">
        <f>$O$253*$X$253</f>
        <v>2093.4223200000001</v>
      </c>
      <c r="AE253" s="4">
        <f>$K$253*$Y$253</f>
        <v>0</v>
      </c>
      <c r="AF253" s="4">
        <f ca="1">$M$253*$Z$253</f>
        <v>8222.8444171570918</v>
      </c>
      <c r="AG253" s="4">
        <f>$O$253*$AA$253</f>
        <v>1903.4268588378034</v>
      </c>
    </row>
    <row r="254" spans="1:3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44713</v>
      </c>
      <c r="J254" s="4">
        <v>0</v>
      </c>
      <c r="K254" s="4">
        <v>0</v>
      </c>
      <c r="L254" s="4">
        <v>2484.355</v>
      </c>
      <c r="M254" s="4">
        <v>2484.355</v>
      </c>
      <c r="N254" s="4">
        <v>2484.355</v>
      </c>
      <c r="O254" s="4">
        <v>2484.355</v>
      </c>
      <c r="P254" s="4">
        <v>12065</v>
      </c>
      <c r="Q254" s="3" t="s">
        <v>26</v>
      </c>
      <c r="R254" s="3">
        <v>0</v>
      </c>
      <c r="S254" s="4">
        <v>0</v>
      </c>
      <c r="T254" s="4">
        <v>34</v>
      </c>
      <c r="U254" s="4">
        <v>83</v>
      </c>
      <c r="V254" s="4">
        <f>IF(ISERROR(VLOOKUP($S$254,'TAR FIN'!$A$1:$O$88,15,0)),0,VLOOKUP($S$254,'TAR FIN'!$A$1:$O$88,15,0))</f>
        <v>0</v>
      </c>
      <c r="W254" s="4">
        <f>IF(ISERROR(VLOOKUP($T$254,'TAR FIN'!$A$1:$O$88,15,0)),0,VLOOKUP($T$254,'TAR FIN'!$A$1:$O$88,15,0))</f>
        <v>501.48</v>
      </c>
      <c r="X254" s="4">
        <f>IF(ISERROR(VLOOKUP($U$254,'TAR FIN'!$A$1:$O$88,15,0)),0,VLOOKUP($U$254,'TAR FIN'!$A$1:$O$88,15,0))</f>
        <v>150.26</v>
      </c>
      <c r="Y254" s="4"/>
      <c r="Z254" s="4">
        <f ca="1">('TUSD BE'!$AM$20+'TUSD BF'!$AM$20+'TUSD CVA'!$AM$20)*1</f>
        <v>590.21277757372172</v>
      </c>
      <c r="AA254" s="4">
        <f>('TE BE'!$AB$10+'TE BF'!$AB$10+'TE CVA'!$AB$10)*1</f>
        <v>136.62265710865657</v>
      </c>
      <c r="AB254" s="4">
        <f>$K$254*$V$254</f>
        <v>0</v>
      </c>
      <c r="AC254" s="4">
        <f>$M$254*$W$254</f>
        <v>1245854.3454</v>
      </c>
      <c r="AD254" s="4">
        <f>$O$254*$X$254</f>
        <v>373299.18229999999</v>
      </c>
      <c r="AE254" s="4">
        <f>$K$254*$Y$254</f>
        <v>0</v>
      </c>
      <c r="AF254" s="4">
        <f ca="1">$M$254*$Z$254</f>
        <v>1466298.0650291634</v>
      </c>
      <c r="AG254" s="4">
        <f>$O$254*$AA$254</f>
        <v>339419.18130117649</v>
      </c>
    </row>
    <row r="255" spans="1:33" ht="11.25" customHeight="1" x14ac:dyDescent="0.25">
      <c r="A255" s="3" t="s">
        <v>27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44713</v>
      </c>
      <c r="J255" s="4">
        <v>0</v>
      </c>
      <c r="K255" s="4">
        <v>0</v>
      </c>
      <c r="L255" s="4">
        <v>-1.319</v>
      </c>
      <c r="M255" s="4">
        <v>-1.319</v>
      </c>
      <c r="N255" s="4">
        <v>-1.319</v>
      </c>
      <c r="O255" s="4">
        <v>-1.319</v>
      </c>
      <c r="P255" s="4">
        <v>0</v>
      </c>
      <c r="Q255" s="3" t="s">
        <v>26</v>
      </c>
      <c r="R255" s="3">
        <v>0</v>
      </c>
      <c r="S255" s="4">
        <v>0</v>
      </c>
      <c r="T255" s="4">
        <v>34</v>
      </c>
      <c r="U255" s="4">
        <v>83</v>
      </c>
      <c r="V255" s="4">
        <f>IF(ISERROR(VLOOKUP($S$255,'TAR FIN'!$A$1:$O$88,15,0)),0,VLOOKUP($S$255,'TAR FIN'!$A$1:$O$88,15,0))</f>
        <v>0</v>
      </c>
      <c r="W255" s="4">
        <f>IF(ISERROR(VLOOKUP($T$255,'TAR FIN'!$A$1:$O$88,15,0)),0,VLOOKUP($T$255,'TAR FIN'!$A$1:$O$88,15,0))</f>
        <v>501.48</v>
      </c>
      <c r="X255" s="4">
        <f>IF(ISERROR(VLOOKUP($U$255,'TAR FIN'!$A$1:$O$88,15,0)),0,VLOOKUP($U$255,'TAR FIN'!$A$1:$O$88,15,0))</f>
        <v>150.26</v>
      </c>
      <c r="Y255" s="4"/>
      <c r="Z255" s="4">
        <f ca="1">('TUSD BE'!$AM$20+'TUSD BF'!$AM$20+'TUSD CVA'!$AM$20)*1</f>
        <v>590.21277757372172</v>
      </c>
      <c r="AA255" s="4">
        <f>('TE BE'!$AB$10+'TE BF'!$AB$10+'TE CVA'!$AB$10)*1</f>
        <v>136.62265710865657</v>
      </c>
      <c r="AB255" s="4">
        <f>$K$255*$V$255</f>
        <v>0</v>
      </c>
      <c r="AC255" s="4">
        <f>$M$255*$W$255</f>
        <v>-661.45212000000004</v>
      </c>
      <c r="AD255" s="4">
        <f>$O$255*$X$255</f>
        <v>-198.19293999999999</v>
      </c>
      <c r="AE255" s="4">
        <f>$K$255*$Y$255</f>
        <v>0</v>
      </c>
      <c r="AF255" s="4">
        <f ca="1">$M$255*$Z$255</f>
        <v>-778.49065361973896</v>
      </c>
      <c r="AG255" s="4">
        <f>$O$255*$AA$255</f>
        <v>-180.20528472631801</v>
      </c>
    </row>
    <row r="256" spans="1:33" ht="11.25" customHeight="1" x14ac:dyDescent="0.25">
      <c r="A256" s="3" t="s">
        <v>28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22.15</v>
      </c>
      <c r="M256" s="4">
        <v>22.15</v>
      </c>
      <c r="N256" s="4">
        <v>22.15</v>
      </c>
      <c r="O256" s="4">
        <v>22.15</v>
      </c>
      <c r="P256" s="4">
        <v>116</v>
      </c>
      <c r="Q256" s="3" t="s">
        <v>26</v>
      </c>
      <c r="R256" s="3">
        <v>0</v>
      </c>
      <c r="S256" s="4">
        <v>0</v>
      </c>
      <c r="T256" s="4">
        <v>34</v>
      </c>
      <c r="U256" s="4">
        <v>83</v>
      </c>
      <c r="V256" s="4">
        <f>IF(ISERROR(VLOOKUP($S$256,'TAR FIN'!$A$1:$O$88,15,0)),0,VLOOKUP($S$256,'TAR FIN'!$A$1:$O$88,15,0))</f>
        <v>0</v>
      </c>
      <c r="W256" s="4">
        <f>IF(ISERROR(VLOOKUP($T$256,'TAR FIN'!$A$1:$O$88,15,0)),0,VLOOKUP($T$256,'TAR FIN'!$A$1:$O$88,15,0))</f>
        <v>501.48</v>
      </c>
      <c r="X256" s="4">
        <f>IF(ISERROR(VLOOKUP($U$256,'TAR FIN'!$A$1:$O$88,15,0)),0,VLOOKUP($U$256,'TAR FIN'!$A$1:$O$88,15,0))</f>
        <v>150.26</v>
      </c>
      <c r="Y256" s="4"/>
      <c r="Z256" s="4">
        <f ca="1">('TUSD BE'!$AM$20+'TUSD BF'!$AM$20+'TUSD CVA'!$AM$20)*1</f>
        <v>590.21277757372172</v>
      </c>
      <c r="AA256" s="4">
        <f>('TE BE'!$AB$10+'TE BF'!$AB$10+'TE CVA'!$AB$10)*1</f>
        <v>136.62265710865657</v>
      </c>
      <c r="AB256" s="4">
        <f>$K$256*$V$256</f>
        <v>0</v>
      </c>
      <c r="AC256" s="4">
        <f>$M$256*$W$256</f>
        <v>11107.781999999999</v>
      </c>
      <c r="AD256" s="4">
        <f>$O$256*$X$256</f>
        <v>3328.2589999999996</v>
      </c>
      <c r="AE256" s="4">
        <f>$K$256*$Y$256</f>
        <v>0</v>
      </c>
      <c r="AF256" s="4">
        <f ca="1">$M$256*$Z$256</f>
        <v>13073.213023257935</v>
      </c>
      <c r="AG256" s="4">
        <f>$O$256*$AA$256</f>
        <v>3026.1918549567426</v>
      </c>
    </row>
    <row r="257" spans="1:3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44743</v>
      </c>
      <c r="J257" s="4">
        <v>0</v>
      </c>
      <c r="K257" s="4">
        <v>0</v>
      </c>
      <c r="L257" s="4">
        <v>2394.3290000000002</v>
      </c>
      <c r="M257" s="4">
        <v>2394.3290000000002</v>
      </c>
      <c r="N257" s="4">
        <v>2394.3290000000002</v>
      </c>
      <c r="O257" s="4">
        <v>2394.3290000000002</v>
      </c>
      <c r="P257" s="4">
        <v>12091</v>
      </c>
      <c r="Q257" s="3" t="s">
        <v>26</v>
      </c>
      <c r="R257" s="3">
        <v>0</v>
      </c>
      <c r="S257" s="4">
        <v>0</v>
      </c>
      <c r="T257" s="4">
        <v>34</v>
      </c>
      <c r="U257" s="4">
        <v>83</v>
      </c>
      <c r="V257" s="4">
        <f>IF(ISERROR(VLOOKUP($S$257,'TAR FIN'!$A$1:$O$88,15,0)),0,VLOOKUP($S$257,'TAR FIN'!$A$1:$O$88,15,0))</f>
        <v>0</v>
      </c>
      <c r="W257" s="4">
        <f>IF(ISERROR(VLOOKUP($T$257,'TAR FIN'!$A$1:$O$88,15,0)),0,VLOOKUP($T$257,'TAR FIN'!$A$1:$O$88,15,0))</f>
        <v>501.48</v>
      </c>
      <c r="X257" s="4">
        <f>IF(ISERROR(VLOOKUP($U$257,'TAR FIN'!$A$1:$O$88,15,0)),0,VLOOKUP($U$257,'TAR FIN'!$A$1:$O$88,15,0))</f>
        <v>150.26</v>
      </c>
      <c r="Y257" s="4"/>
      <c r="Z257" s="4">
        <f ca="1">('TUSD BE'!$AM$20+'TUSD BF'!$AM$20+'TUSD CVA'!$AM$20)*1</f>
        <v>590.21277757372172</v>
      </c>
      <c r="AA257" s="4">
        <f>('TE BE'!$AB$10+'TE BF'!$AB$10+'TE CVA'!$AB$10)*1</f>
        <v>136.62265710865657</v>
      </c>
      <c r="AB257" s="4">
        <f>$K$257*$V$257</f>
        <v>0</v>
      </c>
      <c r="AC257" s="4">
        <f>$M$257*$W$257</f>
        <v>1200708.1069200002</v>
      </c>
      <c r="AD257" s="4">
        <f>$O$257*$X$257</f>
        <v>359771.87553999998</v>
      </c>
      <c r="AE257" s="4">
        <f>$K$257*$Y$257</f>
        <v>0</v>
      </c>
      <c r="AF257" s="4">
        <f ca="1">$M$257*$Z$257</f>
        <v>1413163.5695153116</v>
      </c>
      <c r="AG257" s="4">
        <f>$O$257*$AA$257</f>
        <v>327119.58997231262</v>
      </c>
    </row>
    <row r="258" spans="1:33" ht="11.25" customHeight="1" x14ac:dyDescent="0.25">
      <c r="A258" s="3" t="s">
        <v>27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44743</v>
      </c>
      <c r="J258" s="4">
        <v>0</v>
      </c>
      <c r="K258" s="4">
        <v>0</v>
      </c>
      <c r="L258" s="4">
        <v>-2.63</v>
      </c>
      <c r="M258" s="4">
        <v>-2.63</v>
      </c>
      <c r="N258" s="4">
        <v>-2.63</v>
      </c>
      <c r="O258" s="4">
        <v>-2.63</v>
      </c>
      <c r="P258" s="4">
        <v>0</v>
      </c>
      <c r="Q258" s="3" t="s">
        <v>26</v>
      </c>
      <c r="R258" s="3">
        <v>0</v>
      </c>
      <c r="S258" s="4">
        <v>0</v>
      </c>
      <c r="T258" s="4">
        <v>34</v>
      </c>
      <c r="U258" s="4">
        <v>83</v>
      </c>
      <c r="V258" s="4">
        <f>IF(ISERROR(VLOOKUP($S$258,'TAR FIN'!$A$1:$O$88,15,0)),0,VLOOKUP($S$258,'TAR FIN'!$A$1:$O$88,15,0))</f>
        <v>0</v>
      </c>
      <c r="W258" s="4">
        <f>IF(ISERROR(VLOOKUP($T$258,'TAR FIN'!$A$1:$O$88,15,0)),0,VLOOKUP($T$258,'TAR FIN'!$A$1:$O$88,15,0))</f>
        <v>501.48</v>
      </c>
      <c r="X258" s="4">
        <f>IF(ISERROR(VLOOKUP($U$258,'TAR FIN'!$A$1:$O$88,15,0)),0,VLOOKUP($U$258,'TAR FIN'!$A$1:$O$88,15,0))</f>
        <v>150.26</v>
      </c>
      <c r="Y258" s="4"/>
      <c r="Z258" s="4">
        <f ca="1">('TUSD BE'!$AM$20+'TUSD BF'!$AM$20+'TUSD CVA'!$AM$20)*1</f>
        <v>590.21277757372172</v>
      </c>
      <c r="AA258" s="4">
        <f>('TE BE'!$AB$10+'TE BF'!$AB$10+'TE CVA'!$AB$10)*1</f>
        <v>136.62265710865657</v>
      </c>
      <c r="AB258" s="4">
        <f>$K$258*$V$258</f>
        <v>0</v>
      </c>
      <c r="AC258" s="4">
        <f>$M$258*$W$258</f>
        <v>-1318.8924</v>
      </c>
      <c r="AD258" s="4">
        <f>$O$258*$X$258</f>
        <v>-395.18379999999996</v>
      </c>
      <c r="AE258" s="4">
        <f>$K$258*$Y$258</f>
        <v>0</v>
      </c>
      <c r="AF258" s="4">
        <f ca="1">$M$258*$Z$258</f>
        <v>-1552.2596050188881</v>
      </c>
      <c r="AG258" s="4">
        <f>$O$258*$AA$258</f>
        <v>-359.31758819576675</v>
      </c>
    </row>
    <row r="259" spans="1:33" ht="11.25" customHeight="1" x14ac:dyDescent="0.25">
      <c r="A259" s="3" t="s">
        <v>28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44743</v>
      </c>
      <c r="J259" s="4">
        <v>0</v>
      </c>
      <c r="K259" s="4">
        <v>0</v>
      </c>
      <c r="L259" s="4">
        <v>23.007999999999999</v>
      </c>
      <c r="M259" s="4">
        <v>23.007999999999999</v>
      </c>
      <c r="N259" s="4">
        <v>23.007999999999999</v>
      </c>
      <c r="O259" s="4">
        <v>23.007999999999999</v>
      </c>
      <c r="P259" s="4">
        <v>128</v>
      </c>
      <c r="Q259" s="3" t="s">
        <v>26</v>
      </c>
      <c r="R259" s="3">
        <v>0</v>
      </c>
      <c r="S259" s="4">
        <v>0</v>
      </c>
      <c r="T259" s="4">
        <v>34</v>
      </c>
      <c r="U259" s="4">
        <v>83</v>
      </c>
      <c r="V259" s="4">
        <f>IF(ISERROR(VLOOKUP($S$259,'TAR FIN'!$A$1:$O$88,15,0)),0,VLOOKUP($S$259,'TAR FIN'!$A$1:$O$88,15,0))</f>
        <v>0</v>
      </c>
      <c r="W259" s="4">
        <f>IF(ISERROR(VLOOKUP($T$259,'TAR FIN'!$A$1:$O$88,15,0)),0,VLOOKUP($T$259,'TAR FIN'!$A$1:$O$88,15,0))</f>
        <v>501.48</v>
      </c>
      <c r="X259" s="4">
        <f>IF(ISERROR(VLOOKUP($U$259,'TAR FIN'!$A$1:$O$88,15,0)),0,VLOOKUP($U$259,'TAR FIN'!$A$1:$O$88,15,0))</f>
        <v>150.26</v>
      </c>
      <c r="Y259" s="4"/>
      <c r="Z259" s="4">
        <f ca="1">('TUSD BE'!$AM$20+'TUSD BF'!$AM$20+'TUSD CVA'!$AM$20)*1</f>
        <v>590.21277757372172</v>
      </c>
      <c r="AA259" s="4">
        <f>('TE BE'!$AB$10+'TE BF'!$AB$10+'TE CVA'!$AB$10)*1</f>
        <v>136.62265710865657</v>
      </c>
      <c r="AB259" s="4">
        <f>$K$259*$V$259</f>
        <v>0</v>
      </c>
      <c r="AC259" s="4">
        <f>$M$259*$W$259</f>
        <v>11538.05184</v>
      </c>
      <c r="AD259" s="4">
        <f>$O$259*$X$259</f>
        <v>3457.1820799999996</v>
      </c>
      <c r="AE259" s="4">
        <f>$K$259*$Y$259</f>
        <v>0</v>
      </c>
      <c r="AF259" s="4">
        <f ca="1">$M$259*$Z$259</f>
        <v>13579.615586416188</v>
      </c>
      <c r="AG259" s="4">
        <f>$O$259*$AA$259</f>
        <v>3143.4140947559704</v>
      </c>
    </row>
    <row r="260" spans="1:33" ht="11.25" customHeight="1" x14ac:dyDescent="0.25">
      <c r="A260" s="3" t="s">
        <v>55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44774</v>
      </c>
      <c r="J260" s="4">
        <v>0</v>
      </c>
      <c r="K260" s="4">
        <v>0</v>
      </c>
      <c r="L260" s="4">
        <v>2394.3290000000002</v>
      </c>
      <c r="M260" s="4">
        <v>2394.3290000000002</v>
      </c>
      <c r="N260" s="4">
        <v>2394.3290000000002</v>
      </c>
      <c r="O260" s="4">
        <v>2394.3290000000002</v>
      </c>
      <c r="P260" s="4">
        <v>12091</v>
      </c>
      <c r="Q260" s="3" t="s">
        <v>26</v>
      </c>
      <c r="R260" s="3">
        <v>0</v>
      </c>
      <c r="S260" s="4">
        <v>0</v>
      </c>
      <c r="T260" s="4">
        <v>34</v>
      </c>
      <c r="U260" s="4">
        <v>83</v>
      </c>
      <c r="V260" s="4">
        <f>IF(ISERROR(VLOOKUP($S$260,'TAR FIN'!$A$1:$O$88,15,0)),0,VLOOKUP($S$260,'TAR FIN'!$A$1:$O$88,15,0))</f>
        <v>0</v>
      </c>
      <c r="W260" s="4">
        <f>IF(ISERROR(VLOOKUP($T$260,'TAR FIN'!$A$1:$O$88,15,0)),0,VLOOKUP($T$260,'TAR FIN'!$A$1:$O$88,15,0))</f>
        <v>501.48</v>
      </c>
      <c r="X260" s="4">
        <f>IF(ISERROR(VLOOKUP($U$260,'TAR FIN'!$A$1:$O$88,15,0)),0,VLOOKUP($U$260,'TAR FIN'!$A$1:$O$88,15,0))</f>
        <v>150.26</v>
      </c>
      <c r="Y260" s="4"/>
      <c r="Z260" s="4">
        <f ca="1">('TUSD BE'!$AM$20+'TUSD BF'!$AM$20+'TUSD CVA'!$AM$20)*1</f>
        <v>590.21277757372172</v>
      </c>
      <c r="AA260" s="4">
        <f>('TE BE'!$AB$10+'TE BF'!$AB$10+'TE CVA'!$AB$10)*1</f>
        <v>136.62265710865657</v>
      </c>
      <c r="AB260" s="4">
        <f>$K$260*$V$260</f>
        <v>0</v>
      </c>
      <c r="AC260" s="4">
        <f>$M$260*$W$260</f>
        <v>1200708.1069200002</v>
      </c>
      <c r="AD260" s="4">
        <f>$O$260*$X$260</f>
        <v>359771.87553999998</v>
      </c>
      <c r="AE260" s="4">
        <f>$K$260*$Y$260</f>
        <v>0</v>
      </c>
      <c r="AF260" s="4">
        <f ca="1">$M$260*$Z$260</f>
        <v>1413163.5695153116</v>
      </c>
      <c r="AG260" s="4">
        <f>$O$260*$AA$260</f>
        <v>327119.58997231262</v>
      </c>
    </row>
    <row r="261" spans="1:33" ht="11.25" customHeight="1" x14ac:dyDescent="0.25">
      <c r="A261" s="3" t="s">
        <v>55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44774</v>
      </c>
      <c r="J261" s="4">
        <v>0</v>
      </c>
      <c r="K261" s="4">
        <v>0</v>
      </c>
      <c r="L261" s="4">
        <v>-2.63</v>
      </c>
      <c r="M261" s="4">
        <v>-2.63</v>
      </c>
      <c r="N261" s="4">
        <v>-2.63</v>
      </c>
      <c r="O261" s="4">
        <v>-2.63</v>
      </c>
      <c r="P261" s="4">
        <v>0</v>
      </c>
      <c r="Q261" s="3" t="s">
        <v>26</v>
      </c>
      <c r="R261" s="3">
        <v>0</v>
      </c>
      <c r="S261" s="4">
        <v>0</v>
      </c>
      <c r="T261" s="4">
        <v>34</v>
      </c>
      <c r="U261" s="4">
        <v>83</v>
      </c>
      <c r="V261" s="4">
        <f>IF(ISERROR(VLOOKUP($S$261,'TAR FIN'!$A$1:$O$88,15,0)),0,VLOOKUP($S$261,'TAR FIN'!$A$1:$O$88,15,0))</f>
        <v>0</v>
      </c>
      <c r="W261" s="4">
        <f>IF(ISERROR(VLOOKUP($T$261,'TAR FIN'!$A$1:$O$88,15,0)),0,VLOOKUP($T$261,'TAR FIN'!$A$1:$O$88,15,0))</f>
        <v>501.48</v>
      </c>
      <c r="X261" s="4">
        <f>IF(ISERROR(VLOOKUP($U$261,'TAR FIN'!$A$1:$O$88,15,0)),0,VLOOKUP($U$261,'TAR FIN'!$A$1:$O$88,15,0))</f>
        <v>150.26</v>
      </c>
      <c r="Y261" s="4"/>
      <c r="Z261" s="4">
        <f ca="1">('TUSD BE'!$AM$20+'TUSD BF'!$AM$20+'TUSD CVA'!$AM$20)*1</f>
        <v>590.21277757372172</v>
      </c>
      <c r="AA261" s="4">
        <f>('TE BE'!$AB$10+'TE BF'!$AB$10+'TE CVA'!$AB$10)*1</f>
        <v>136.62265710865657</v>
      </c>
      <c r="AB261" s="4">
        <f>$K$261*$V$261</f>
        <v>0</v>
      </c>
      <c r="AC261" s="4">
        <f>$M$261*$W$261</f>
        <v>-1318.8924</v>
      </c>
      <c r="AD261" s="4">
        <f>$O$261*$X$261</f>
        <v>-395.18379999999996</v>
      </c>
      <c r="AE261" s="4">
        <f>$K$261*$Y$261</f>
        <v>0</v>
      </c>
      <c r="AF261" s="4">
        <f ca="1">$M$261*$Z$261</f>
        <v>-1552.2596050188881</v>
      </c>
      <c r="AG261" s="4">
        <f>$O$261*$AA$261</f>
        <v>-359.31758819576675</v>
      </c>
    </row>
    <row r="262" spans="1:33" ht="11.25" customHeight="1" x14ac:dyDescent="0.25">
      <c r="A262" s="3" t="s">
        <v>55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44774</v>
      </c>
      <c r="J262" s="4">
        <v>0</v>
      </c>
      <c r="K262" s="4">
        <v>0</v>
      </c>
      <c r="L262" s="4">
        <v>23.007999999999999</v>
      </c>
      <c r="M262" s="4">
        <v>23.007999999999999</v>
      </c>
      <c r="N262" s="4">
        <v>23.007999999999999</v>
      </c>
      <c r="O262" s="4">
        <v>23.007999999999999</v>
      </c>
      <c r="P262" s="4">
        <v>128</v>
      </c>
      <c r="Q262" s="3" t="s">
        <v>26</v>
      </c>
      <c r="R262" s="3">
        <v>0</v>
      </c>
      <c r="S262" s="4">
        <v>0</v>
      </c>
      <c r="T262" s="4">
        <v>34</v>
      </c>
      <c r="U262" s="4">
        <v>83</v>
      </c>
      <c r="V262" s="4">
        <f>IF(ISERROR(VLOOKUP($S$262,'TAR FIN'!$A$1:$O$88,15,0)),0,VLOOKUP($S$262,'TAR FIN'!$A$1:$O$88,15,0))</f>
        <v>0</v>
      </c>
      <c r="W262" s="4">
        <f>IF(ISERROR(VLOOKUP($T$262,'TAR FIN'!$A$1:$O$88,15,0)),0,VLOOKUP($T$262,'TAR FIN'!$A$1:$O$88,15,0))</f>
        <v>501.48</v>
      </c>
      <c r="X262" s="4">
        <f>IF(ISERROR(VLOOKUP($U$262,'TAR FIN'!$A$1:$O$88,15,0)),0,VLOOKUP($U$262,'TAR FIN'!$A$1:$O$88,15,0))</f>
        <v>150.26</v>
      </c>
      <c r="Y262" s="4"/>
      <c r="Z262" s="4">
        <f ca="1">('TUSD BE'!$AM$20+'TUSD BF'!$AM$20+'TUSD CVA'!$AM$20)*1</f>
        <v>590.21277757372172</v>
      </c>
      <c r="AA262" s="4">
        <f>('TE BE'!$AB$10+'TE BF'!$AB$10+'TE CVA'!$AB$10)*1</f>
        <v>136.62265710865657</v>
      </c>
      <c r="AB262" s="4">
        <f>$K$262*$V$262</f>
        <v>0</v>
      </c>
      <c r="AC262" s="4">
        <f>$M$262*$W$262</f>
        <v>11538.05184</v>
      </c>
      <c r="AD262" s="4">
        <f>$O$262*$X$262</f>
        <v>3457.1820799999996</v>
      </c>
      <c r="AE262" s="4">
        <f>$K$262*$Y$262</f>
        <v>0</v>
      </c>
      <c r="AF262" s="4">
        <f ca="1">$M$262*$Z$262</f>
        <v>13579.615586416188</v>
      </c>
      <c r="AG262" s="4">
        <f>$O$262*$AA$262</f>
        <v>3143.4140947559704</v>
      </c>
    </row>
    <row r="263" spans="1:3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29</v>
      </c>
      <c r="F263" s="3" t="s">
        <v>25</v>
      </c>
      <c r="G263" s="3" t="s">
        <v>25</v>
      </c>
      <c r="H263" s="3" t="s">
        <v>25</v>
      </c>
      <c r="I263" s="6">
        <v>44440</v>
      </c>
      <c r="J263" s="4">
        <v>0</v>
      </c>
      <c r="K263" s="4">
        <v>0</v>
      </c>
      <c r="L263" s="4">
        <v>15.03</v>
      </c>
      <c r="M263" s="4">
        <v>15.03</v>
      </c>
      <c r="N263" s="4">
        <v>15.03</v>
      </c>
      <c r="O263" s="4">
        <v>15.03</v>
      </c>
      <c r="P263" s="4">
        <v>14</v>
      </c>
      <c r="Q263" s="3" t="s">
        <v>26</v>
      </c>
      <c r="R263" s="3">
        <v>0</v>
      </c>
      <c r="S263" s="4">
        <v>0</v>
      </c>
      <c r="T263" s="4">
        <v>77</v>
      </c>
      <c r="U263" s="4">
        <v>84</v>
      </c>
      <c r="V263" s="4">
        <f>IF(ISERROR(VLOOKUP($S$263,'TAR FIN'!$A$1:$O$88,15,0)),0,VLOOKUP($S$263,'TAR FIN'!$A$1:$O$88,15,0))</f>
        <v>0</v>
      </c>
      <c r="W263" s="4">
        <f>IF(ISERROR(VLOOKUP($T$263,'TAR FIN'!$A$1:$O$88,15,0)),0,VLOOKUP($T$263,'TAR FIN'!$A$1:$O$88,15,0))</f>
        <v>154.44999999999999</v>
      </c>
      <c r="X263" s="4">
        <f>IF(ISERROR(VLOOKUP($U$263,'TAR FIN'!$A$1:$O$88,15,0)),0,VLOOKUP($U$263,'TAR FIN'!$A$1:$O$88,15,0))</f>
        <v>52.59</v>
      </c>
      <c r="Y263" s="4"/>
      <c r="Z263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3" s="4">
        <f>('TE BE'!$AB$11+'TE BF'!$AB$11+'TE CVA'!$AB$11)*(1-CUSTOS!$M$34)</f>
        <v>47.817929988029796</v>
      </c>
      <c r="AB263" s="4">
        <f>$K$263*$V$263</f>
        <v>0</v>
      </c>
      <c r="AC263" s="4">
        <f>$M$263*$W$263</f>
        <v>2321.3834999999999</v>
      </c>
      <c r="AD263" s="4">
        <f>$O$263*$X$263</f>
        <v>790.42770000000007</v>
      </c>
      <c r="AE263" s="4">
        <f>$K$263*$Y$263</f>
        <v>0</v>
      </c>
      <c r="AF263" s="4">
        <f ca="1">$M$263*$Z$263</f>
        <v>2567.4557358283482</v>
      </c>
      <c r="AG263" s="4">
        <f>$O$263*$AA$263</f>
        <v>718.70348772008776</v>
      </c>
    </row>
    <row r="264" spans="1:3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29</v>
      </c>
      <c r="F264" s="3" t="s">
        <v>25</v>
      </c>
      <c r="G264" s="3" t="s">
        <v>25</v>
      </c>
      <c r="H264" s="3" t="s">
        <v>25</v>
      </c>
      <c r="I264" s="6">
        <v>44470</v>
      </c>
      <c r="J264" s="4">
        <v>0</v>
      </c>
      <c r="K264" s="4">
        <v>0</v>
      </c>
      <c r="L264" s="4">
        <v>15.36</v>
      </c>
      <c r="M264" s="4">
        <v>15.36</v>
      </c>
      <c r="N264" s="4">
        <v>15.36</v>
      </c>
      <c r="O264" s="4">
        <v>15.36</v>
      </c>
      <c r="P264" s="4">
        <v>13</v>
      </c>
      <c r="Q264" s="3" t="s">
        <v>26</v>
      </c>
      <c r="R264" s="3">
        <v>0</v>
      </c>
      <c r="S264" s="4">
        <v>0</v>
      </c>
      <c r="T264" s="4">
        <v>77</v>
      </c>
      <c r="U264" s="4">
        <v>84</v>
      </c>
      <c r="V264" s="4">
        <f>IF(ISERROR(VLOOKUP($S$264,'TAR FIN'!$A$1:$O$88,15,0)),0,VLOOKUP($S$264,'TAR FIN'!$A$1:$O$88,15,0))</f>
        <v>0</v>
      </c>
      <c r="W264" s="4">
        <f>IF(ISERROR(VLOOKUP($T$264,'TAR FIN'!$A$1:$O$88,15,0)),0,VLOOKUP($T$264,'TAR FIN'!$A$1:$O$88,15,0))</f>
        <v>154.44999999999999</v>
      </c>
      <c r="X264" s="4">
        <f>IF(ISERROR(VLOOKUP($U$264,'TAR FIN'!$A$1:$O$88,15,0)),0,VLOOKUP($U$264,'TAR FIN'!$A$1:$O$88,15,0))</f>
        <v>52.59</v>
      </c>
      <c r="Y264" s="4"/>
      <c r="Z264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4" s="4">
        <f>('TE BE'!$AB$11+'TE BF'!$AB$11+'TE CVA'!$AB$11)*(1-CUSTOS!$M$34)</f>
        <v>47.817929988029796</v>
      </c>
      <c r="AB264" s="4">
        <f>$K$264*$V$264</f>
        <v>0</v>
      </c>
      <c r="AC264" s="4">
        <f>$M$264*$W$264</f>
        <v>2372.3519999999999</v>
      </c>
      <c r="AD264" s="4">
        <f>$O$264*$X$264</f>
        <v>807.78240000000005</v>
      </c>
      <c r="AE264" s="4">
        <f>$K$264*$Y$264</f>
        <v>0</v>
      </c>
      <c r="AF264" s="4">
        <f ca="1">$M$264*$Z$264</f>
        <v>2623.8270194493298</v>
      </c>
      <c r="AG264" s="4">
        <f>$O$264*$AA$264</f>
        <v>734.48340461613759</v>
      </c>
    </row>
    <row r="265" spans="1:3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44501</v>
      </c>
      <c r="J265" s="4">
        <v>0</v>
      </c>
      <c r="K265" s="4">
        <v>0</v>
      </c>
      <c r="L265" s="4">
        <v>15.48</v>
      </c>
      <c r="M265" s="4">
        <v>15.48</v>
      </c>
      <c r="N265" s="4">
        <v>15.48</v>
      </c>
      <c r="O265" s="4">
        <v>15.48</v>
      </c>
      <c r="P265" s="4">
        <v>9</v>
      </c>
      <c r="Q265" s="3" t="s">
        <v>26</v>
      </c>
      <c r="R265" s="3">
        <v>0</v>
      </c>
      <c r="S265" s="4">
        <v>0</v>
      </c>
      <c r="T265" s="4">
        <v>77</v>
      </c>
      <c r="U265" s="4">
        <v>84</v>
      </c>
      <c r="V265" s="4">
        <f>IF(ISERROR(VLOOKUP($S$265,'TAR FIN'!$A$1:$O$88,15,0)),0,VLOOKUP($S$265,'TAR FIN'!$A$1:$O$88,15,0))</f>
        <v>0</v>
      </c>
      <c r="W265" s="4">
        <f>IF(ISERROR(VLOOKUP($T$265,'TAR FIN'!$A$1:$O$88,15,0)),0,VLOOKUP($T$265,'TAR FIN'!$A$1:$O$88,15,0))</f>
        <v>154.44999999999999</v>
      </c>
      <c r="X265" s="4">
        <f>IF(ISERROR(VLOOKUP($U$265,'TAR FIN'!$A$1:$O$88,15,0)),0,VLOOKUP($U$265,'TAR FIN'!$A$1:$O$88,15,0))</f>
        <v>52.59</v>
      </c>
      <c r="Y265" s="4"/>
      <c r="Z265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5" s="4">
        <f>('TE BE'!$AB$11+'TE BF'!$AB$11+'TE CVA'!$AB$11)*(1-CUSTOS!$M$34)</f>
        <v>47.817929988029796</v>
      </c>
      <c r="AB265" s="4">
        <f>$K$265*$V$265</f>
        <v>0</v>
      </c>
      <c r="AC265" s="4">
        <f>$M$265*$W$265</f>
        <v>2390.886</v>
      </c>
      <c r="AD265" s="4">
        <f>$O$265*$X$265</f>
        <v>814.09320000000002</v>
      </c>
      <c r="AE265" s="4">
        <f>$K$265*$Y$265</f>
        <v>0</v>
      </c>
      <c r="AF265" s="4">
        <f ca="1">$M$265*$Z$265</f>
        <v>2644.3256680387781</v>
      </c>
      <c r="AG265" s="4">
        <f>$O$265*$AA$265</f>
        <v>740.22155621470131</v>
      </c>
    </row>
    <row r="266" spans="1:3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44531</v>
      </c>
      <c r="J266" s="4">
        <v>0</v>
      </c>
      <c r="K266" s="4">
        <v>0</v>
      </c>
      <c r="L266" s="4">
        <v>15.587999999999999</v>
      </c>
      <c r="M266" s="4">
        <v>15.587999999999999</v>
      </c>
      <c r="N266" s="4">
        <v>15.587999999999999</v>
      </c>
      <c r="O266" s="4">
        <v>15.587999999999999</v>
      </c>
      <c r="P266" s="4">
        <v>8</v>
      </c>
      <c r="Q266" s="3" t="s">
        <v>26</v>
      </c>
      <c r="R266" s="3">
        <v>0</v>
      </c>
      <c r="S266" s="4">
        <v>0</v>
      </c>
      <c r="T266" s="4">
        <v>77</v>
      </c>
      <c r="U266" s="4">
        <v>84</v>
      </c>
      <c r="V266" s="4">
        <f>IF(ISERROR(VLOOKUP($S$266,'TAR FIN'!$A$1:$O$88,15,0)),0,VLOOKUP($S$266,'TAR FIN'!$A$1:$O$88,15,0))</f>
        <v>0</v>
      </c>
      <c r="W266" s="4">
        <f>IF(ISERROR(VLOOKUP($T$266,'TAR FIN'!$A$1:$O$88,15,0)),0,VLOOKUP($T$266,'TAR FIN'!$A$1:$O$88,15,0))</f>
        <v>154.44999999999999</v>
      </c>
      <c r="X266" s="4">
        <f>IF(ISERROR(VLOOKUP($U$266,'TAR FIN'!$A$1:$O$88,15,0)),0,VLOOKUP($U$266,'TAR FIN'!$A$1:$O$88,15,0))</f>
        <v>52.59</v>
      </c>
      <c r="Y266" s="4"/>
      <c r="Z266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6" s="4">
        <f>('TE BE'!$AB$11+'TE BF'!$AB$11+'TE CVA'!$AB$11)*(1-CUSTOS!$M$34)</f>
        <v>47.817929988029796</v>
      </c>
      <c r="AB266" s="4">
        <f>$K$266*$V$266</f>
        <v>0</v>
      </c>
      <c r="AC266" s="4">
        <f>$M$266*$W$266</f>
        <v>2407.5665999999997</v>
      </c>
      <c r="AD266" s="4">
        <f>$O$266*$X$266</f>
        <v>819.77292</v>
      </c>
      <c r="AE266" s="4">
        <f>$K$266*$Y$266</f>
        <v>0</v>
      </c>
      <c r="AF266" s="4">
        <f ca="1">$M$266*$Z$266</f>
        <v>2662.7744517692809</v>
      </c>
      <c r="AG266" s="4">
        <f>$O$266*$AA$266</f>
        <v>745.3858926534084</v>
      </c>
    </row>
    <row r="267" spans="1:3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44562</v>
      </c>
      <c r="J267" s="4">
        <v>0</v>
      </c>
      <c r="K267" s="4">
        <v>0</v>
      </c>
      <c r="L267" s="4">
        <v>15.54</v>
      </c>
      <c r="M267" s="4">
        <v>15.54</v>
      </c>
      <c r="N267" s="4">
        <v>15.54</v>
      </c>
      <c r="O267" s="4">
        <v>15.54</v>
      </c>
      <c r="P267" s="4">
        <v>7</v>
      </c>
      <c r="Q267" s="3" t="s">
        <v>26</v>
      </c>
      <c r="R267" s="3">
        <v>0</v>
      </c>
      <c r="S267" s="4">
        <v>0</v>
      </c>
      <c r="T267" s="4">
        <v>77</v>
      </c>
      <c r="U267" s="4">
        <v>84</v>
      </c>
      <c r="V267" s="4">
        <f>IF(ISERROR(VLOOKUP($S$267,'TAR FIN'!$A$1:$O$88,15,0)),0,VLOOKUP($S$267,'TAR FIN'!$A$1:$O$88,15,0))</f>
        <v>0</v>
      </c>
      <c r="W267" s="4">
        <f>IF(ISERROR(VLOOKUP($T$267,'TAR FIN'!$A$1:$O$88,15,0)),0,VLOOKUP($T$267,'TAR FIN'!$A$1:$O$88,15,0))</f>
        <v>154.44999999999999</v>
      </c>
      <c r="X267" s="4">
        <f>IF(ISERROR(VLOOKUP($U$267,'TAR FIN'!$A$1:$O$88,15,0)),0,VLOOKUP($U$267,'TAR FIN'!$A$1:$O$88,15,0))</f>
        <v>52.59</v>
      </c>
      <c r="Y267" s="4"/>
      <c r="Z267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7" s="4">
        <f>('TE BE'!$AB$11+'TE BF'!$AB$11+'TE CVA'!$AB$11)*(1-CUSTOS!$M$34)</f>
        <v>47.817929988029796</v>
      </c>
      <c r="AB267" s="4">
        <f>$K$267*$V$267</f>
        <v>0</v>
      </c>
      <c r="AC267" s="4">
        <f>$M$267*$W$267</f>
        <v>2400.1529999999998</v>
      </c>
      <c r="AD267" s="4">
        <f>$O$267*$X$267</f>
        <v>817.24860000000001</v>
      </c>
      <c r="AE267" s="4">
        <f>$K$267*$Y$267</f>
        <v>0</v>
      </c>
      <c r="AF267" s="4">
        <f ca="1">$M$267*$Z$267</f>
        <v>2654.5749923335015</v>
      </c>
      <c r="AG267" s="4">
        <f>$O$267*$AA$267</f>
        <v>743.09063201398294</v>
      </c>
    </row>
    <row r="268" spans="1:3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44593</v>
      </c>
      <c r="J268" s="4">
        <v>0</v>
      </c>
      <c r="K268" s="4">
        <v>0</v>
      </c>
      <c r="L268" s="4">
        <v>15.72</v>
      </c>
      <c r="M268" s="4">
        <v>15.72</v>
      </c>
      <c r="N268" s="4">
        <v>15.72</v>
      </c>
      <c r="O268" s="4">
        <v>15.72</v>
      </c>
      <c r="P268" s="4">
        <v>9</v>
      </c>
      <c r="Q268" s="3" t="s">
        <v>26</v>
      </c>
      <c r="R268" s="3">
        <v>0</v>
      </c>
      <c r="S268" s="4">
        <v>0</v>
      </c>
      <c r="T268" s="4">
        <v>77</v>
      </c>
      <c r="U268" s="4">
        <v>84</v>
      </c>
      <c r="V268" s="4">
        <f>IF(ISERROR(VLOOKUP($S$268,'TAR FIN'!$A$1:$O$88,15,0)),0,VLOOKUP($S$268,'TAR FIN'!$A$1:$O$88,15,0))</f>
        <v>0</v>
      </c>
      <c r="W268" s="4">
        <f>IF(ISERROR(VLOOKUP($T$268,'TAR FIN'!$A$1:$O$88,15,0)),0,VLOOKUP($T$268,'TAR FIN'!$A$1:$O$88,15,0))</f>
        <v>154.44999999999999</v>
      </c>
      <c r="X268" s="4">
        <f>IF(ISERROR(VLOOKUP($U$268,'TAR FIN'!$A$1:$O$88,15,0)),0,VLOOKUP($U$268,'TAR FIN'!$A$1:$O$88,15,0))</f>
        <v>52.59</v>
      </c>
      <c r="Y268" s="4"/>
      <c r="Z268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8" s="4">
        <f>('TE BE'!$AB$11+'TE BF'!$AB$11+'TE CVA'!$AB$11)*(1-CUSTOS!$M$34)</f>
        <v>47.817929988029796</v>
      </c>
      <c r="AB268" s="4">
        <f>$K$268*$V$268</f>
        <v>0</v>
      </c>
      <c r="AC268" s="4">
        <f>$M$268*$W$268</f>
        <v>2427.9539999999997</v>
      </c>
      <c r="AD268" s="4">
        <f>$O$268*$X$268</f>
        <v>826.71480000000008</v>
      </c>
      <c r="AE268" s="4">
        <f>$K$268*$Y$268</f>
        <v>0</v>
      </c>
      <c r="AF268" s="4">
        <f ca="1">$M$268*$Z$268</f>
        <v>2685.3229652176738</v>
      </c>
      <c r="AG268" s="4">
        <f>$O$268*$AA$268</f>
        <v>751.6978594118284</v>
      </c>
    </row>
    <row r="269" spans="1:3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44621</v>
      </c>
      <c r="J269" s="4">
        <v>0</v>
      </c>
      <c r="K269" s="4">
        <v>0</v>
      </c>
      <c r="L269" s="4">
        <v>16.2</v>
      </c>
      <c r="M269" s="4">
        <v>16.2</v>
      </c>
      <c r="N269" s="4">
        <v>16.2</v>
      </c>
      <c r="O269" s="4">
        <v>16.2</v>
      </c>
      <c r="P269" s="4">
        <v>10</v>
      </c>
      <c r="Q269" s="3" t="s">
        <v>26</v>
      </c>
      <c r="R269" s="3">
        <v>0</v>
      </c>
      <c r="S269" s="4">
        <v>0</v>
      </c>
      <c r="T269" s="4">
        <v>77</v>
      </c>
      <c r="U269" s="4">
        <v>84</v>
      </c>
      <c r="V269" s="4">
        <f>IF(ISERROR(VLOOKUP($S$269,'TAR FIN'!$A$1:$O$88,15,0)),0,VLOOKUP($S$269,'TAR FIN'!$A$1:$O$88,15,0))</f>
        <v>0</v>
      </c>
      <c r="W269" s="4">
        <f>IF(ISERROR(VLOOKUP($T$269,'TAR FIN'!$A$1:$O$88,15,0)),0,VLOOKUP($T$269,'TAR FIN'!$A$1:$O$88,15,0))</f>
        <v>154.44999999999999</v>
      </c>
      <c r="X269" s="4">
        <f>IF(ISERROR(VLOOKUP($U$269,'TAR FIN'!$A$1:$O$88,15,0)),0,VLOOKUP($U$269,'TAR FIN'!$A$1:$O$88,15,0))</f>
        <v>52.59</v>
      </c>
      <c r="Y269" s="4"/>
      <c r="Z269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69" s="4">
        <f>('TE BE'!$AB$11+'TE BF'!$AB$11+'TE CVA'!$AB$11)*(1-CUSTOS!$M$34)</f>
        <v>47.817929988029796</v>
      </c>
      <c r="AB269" s="4">
        <f>$K$269*$V$269</f>
        <v>0</v>
      </c>
      <c r="AC269" s="4">
        <f>$M$269*$W$269</f>
        <v>2502.0899999999997</v>
      </c>
      <c r="AD269" s="4">
        <f>$O$269*$X$269</f>
        <v>851.95799999999997</v>
      </c>
      <c r="AE269" s="4">
        <f>$K$269*$Y$269</f>
        <v>0</v>
      </c>
      <c r="AF269" s="4">
        <f ca="1">$M$269*$Z$269</f>
        <v>2767.3175595754651</v>
      </c>
      <c r="AG269" s="4">
        <f>$O$269*$AA$269</f>
        <v>774.65046580608271</v>
      </c>
    </row>
    <row r="270" spans="1:3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44652</v>
      </c>
      <c r="J270" s="4">
        <v>0</v>
      </c>
      <c r="K270" s="4">
        <v>0</v>
      </c>
      <c r="L270" s="4">
        <v>16.71</v>
      </c>
      <c r="M270" s="4">
        <v>16.71</v>
      </c>
      <c r="N270" s="4">
        <v>16.71</v>
      </c>
      <c r="O270" s="4">
        <v>16.71</v>
      </c>
      <c r="P270" s="4">
        <v>9</v>
      </c>
      <c r="Q270" s="3" t="s">
        <v>26</v>
      </c>
      <c r="R270" s="3">
        <v>0</v>
      </c>
      <c r="S270" s="4">
        <v>0</v>
      </c>
      <c r="T270" s="4">
        <v>77</v>
      </c>
      <c r="U270" s="4">
        <v>84</v>
      </c>
      <c r="V270" s="4">
        <f>IF(ISERROR(VLOOKUP($S$270,'TAR FIN'!$A$1:$O$88,15,0)),0,VLOOKUP($S$270,'TAR FIN'!$A$1:$O$88,15,0))</f>
        <v>0</v>
      </c>
      <c r="W270" s="4">
        <f>IF(ISERROR(VLOOKUP($T$270,'TAR FIN'!$A$1:$O$88,15,0)),0,VLOOKUP($T$270,'TAR FIN'!$A$1:$O$88,15,0))</f>
        <v>154.44999999999999</v>
      </c>
      <c r="X270" s="4">
        <f>IF(ISERROR(VLOOKUP($U$270,'TAR FIN'!$A$1:$O$88,15,0)),0,VLOOKUP($U$270,'TAR FIN'!$A$1:$O$88,15,0))</f>
        <v>52.59</v>
      </c>
      <c r="Y270" s="4"/>
      <c r="Z270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0" s="4">
        <f>('TE BE'!$AB$11+'TE BF'!$AB$11+'TE CVA'!$AB$11)*(1-CUSTOS!$M$34)</f>
        <v>47.817929988029796</v>
      </c>
      <c r="AB270" s="4">
        <f>$K$270*$V$270</f>
        <v>0</v>
      </c>
      <c r="AC270" s="4">
        <f>$M$270*$W$270</f>
        <v>2580.8595</v>
      </c>
      <c r="AD270" s="4">
        <f>$O$270*$X$270</f>
        <v>878.77890000000014</v>
      </c>
      <c r="AE270" s="4">
        <f>$K$270*$Y$270</f>
        <v>0</v>
      </c>
      <c r="AF270" s="4">
        <f ca="1">$M$270*$Z$270</f>
        <v>2854.4368160806189</v>
      </c>
      <c r="AG270" s="4">
        <f>$O$270*$AA$270</f>
        <v>799.03761009997788</v>
      </c>
    </row>
    <row r="271" spans="1:3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44682</v>
      </c>
      <c r="J271" s="4">
        <v>0</v>
      </c>
      <c r="K271" s="4">
        <v>0</v>
      </c>
      <c r="L271" s="4">
        <v>18.239999999999998</v>
      </c>
      <c r="M271" s="4">
        <v>18.239999999999998</v>
      </c>
      <c r="N271" s="4">
        <v>18.239999999999998</v>
      </c>
      <c r="O271" s="4">
        <v>18.239999999999998</v>
      </c>
      <c r="P271" s="4">
        <v>12</v>
      </c>
      <c r="Q271" s="3" t="s">
        <v>26</v>
      </c>
      <c r="R271" s="3">
        <v>0</v>
      </c>
      <c r="S271" s="4">
        <v>0</v>
      </c>
      <c r="T271" s="4">
        <v>77</v>
      </c>
      <c r="U271" s="4">
        <v>84</v>
      </c>
      <c r="V271" s="4">
        <f>IF(ISERROR(VLOOKUP($S$271,'TAR FIN'!$A$1:$O$88,15,0)),0,VLOOKUP($S$271,'TAR FIN'!$A$1:$O$88,15,0))</f>
        <v>0</v>
      </c>
      <c r="W271" s="4">
        <f>IF(ISERROR(VLOOKUP($T$271,'TAR FIN'!$A$1:$O$88,15,0)),0,VLOOKUP($T$271,'TAR FIN'!$A$1:$O$88,15,0))</f>
        <v>154.44999999999999</v>
      </c>
      <c r="X271" s="4">
        <f>IF(ISERROR(VLOOKUP($U$271,'TAR FIN'!$A$1:$O$88,15,0)),0,VLOOKUP($U$271,'TAR FIN'!$A$1:$O$88,15,0))</f>
        <v>52.59</v>
      </c>
      <c r="Y271" s="4"/>
      <c r="Z271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1" s="4">
        <f>('TE BE'!$AB$11+'TE BF'!$AB$11+'TE CVA'!$AB$11)*(1-CUSTOS!$M$34)</f>
        <v>47.817929988029796</v>
      </c>
      <c r="AB271" s="4">
        <f>$K$271*$V$271</f>
        <v>0</v>
      </c>
      <c r="AC271" s="4">
        <f>$M$271*$W$271</f>
        <v>2817.1679999999997</v>
      </c>
      <c r="AD271" s="4">
        <f>$O$271*$X$271</f>
        <v>959.24159999999995</v>
      </c>
      <c r="AE271" s="4">
        <f>$K$271*$Y$271</f>
        <v>0</v>
      </c>
      <c r="AF271" s="4">
        <f ca="1">$M$271*$Z$271</f>
        <v>3115.7945855960793</v>
      </c>
      <c r="AG271" s="4">
        <f>$O$271*$AA$271</f>
        <v>872.19904298166341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44713</v>
      </c>
      <c r="J272" s="4">
        <v>0</v>
      </c>
      <c r="K272" s="4">
        <v>0</v>
      </c>
      <c r="L272" s="4">
        <v>15.78</v>
      </c>
      <c r="M272" s="4">
        <v>15.78</v>
      </c>
      <c r="N272" s="4">
        <v>15.78</v>
      </c>
      <c r="O272" s="4">
        <v>15.78</v>
      </c>
      <c r="P272" s="4">
        <v>7</v>
      </c>
      <c r="Q272" s="3" t="s">
        <v>26</v>
      </c>
      <c r="R272" s="3">
        <v>0</v>
      </c>
      <c r="S272" s="4">
        <v>0</v>
      </c>
      <c r="T272" s="4">
        <v>77</v>
      </c>
      <c r="U272" s="4">
        <v>84</v>
      </c>
      <c r="V272" s="4">
        <f>IF(ISERROR(VLOOKUP($S$272,'TAR FIN'!$A$1:$O$88,15,0)),0,VLOOKUP($S$272,'TAR FIN'!$A$1:$O$88,15,0))</f>
        <v>0</v>
      </c>
      <c r="W272" s="4">
        <f>IF(ISERROR(VLOOKUP($T$272,'TAR FIN'!$A$1:$O$88,15,0)),0,VLOOKUP($T$272,'TAR FIN'!$A$1:$O$88,15,0))</f>
        <v>154.44999999999999</v>
      </c>
      <c r="X272" s="4">
        <f>IF(ISERROR(VLOOKUP($U$272,'TAR FIN'!$A$1:$O$88,15,0)),0,VLOOKUP($U$272,'TAR FIN'!$A$1:$O$88,15,0))</f>
        <v>52.59</v>
      </c>
      <c r="Y272" s="4"/>
      <c r="Z272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2" s="4">
        <f>('TE BE'!$AB$11+'TE BF'!$AB$11+'TE CVA'!$AB$11)*(1-CUSTOS!$M$34)</f>
        <v>47.817929988029796</v>
      </c>
      <c r="AB272" s="4">
        <f>$K$272*$V$272</f>
        <v>0</v>
      </c>
      <c r="AC272" s="4">
        <f>$M$272*$W$272</f>
        <v>2437.2209999999995</v>
      </c>
      <c r="AD272" s="4">
        <f>$O$272*$X$272</f>
        <v>829.87020000000007</v>
      </c>
      <c r="AE272" s="4">
        <f>$K$272*$Y$272</f>
        <v>0</v>
      </c>
      <c r="AF272" s="4">
        <f ca="1">$M$272*$Z$272</f>
        <v>2695.5722895123977</v>
      </c>
      <c r="AG272" s="4">
        <f>$O$272*$AA$272</f>
        <v>754.56693521111015</v>
      </c>
    </row>
    <row r="273" spans="1:3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44713</v>
      </c>
      <c r="J273" s="4">
        <v>0</v>
      </c>
      <c r="K273" s="4">
        <v>0</v>
      </c>
      <c r="L273" s="4">
        <v>0.03</v>
      </c>
      <c r="M273" s="4">
        <v>0.03</v>
      </c>
      <c r="N273" s="4">
        <v>0.03</v>
      </c>
      <c r="O273" s="4">
        <v>0.03</v>
      </c>
      <c r="P273" s="4">
        <v>0</v>
      </c>
      <c r="Q273" s="3" t="s">
        <v>26</v>
      </c>
      <c r="R273" s="3">
        <v>0</v>
      </c>
      <c r="S273" s="4">
        <v>0</v>
      </c>
      <c r="T273" s="4">
        <v>77</v>
      </c>
      <c r="U273" s="4">
        <v>84</v>
      </c>
      <c r="V273" s="4">
        <f>IF(ISERROR(VLOOKUP($S$273,'TAR FIN'!$A$1:$O$88,15,0)),0,VLOOKUP($S$273,'TAR FIN'!$A$1:$O$88,15,0))</f>
        <v>0</v>
      </c>
      <c r="W273" s="4">
        <f>IF(ISERROR(VLOOKUP($T$273,'TAR FIN'!$A$1:$O$88,15,0)),0,VLOOKUP($T$273,'TAR FIN'!$A$1:$O$88,15,0))</f>
        <v>154.44999999999999</v>
      </c>
      <c r="X273" s="4">
        <f>IF(ISERROR(VLOOKUP($U$273,'TAR FIN'!$A$1:$O$88,15,0)),0,VLOOKUP($U$273,'TAR FIN'!$A$1:$O$88,15,0))</f>
        <v>52.59</v>
      </c>
      <c r="Y273" s="4"/>
      <c r="Z273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3" s="4">
        <f>('TE BE'!$AB$11+'TE BF'!$AB$11+'TE CVA'!$AB$11)*(1-CUSTOS!$M$34)</f>
        <v>47.817929988029796</v>
      </c>
      <c r="AB273" s="4">
        <f>$K$273*$V$273</f>
        <v>0</v>
      </c>
      <c r="AC273" s="4">
        <f>$M$273*$W$273</f>
        <v>4.6334999999999997</v>
      </c>
      <c r="AD273" s="4">
        <f>$O$273*$X$273</f>
        <v>1.5777000000000001</v>
      </c>
      <c r="AE273" s="4">
        <f>$K$273*$Y$273</f>
        <v>0</v>
      </c>
      <c r="AF273" s="4">
        <f ca="1">$M$273*$Z$273</f>
        <v>5.1246621473619722</v>
      </c>
      <c r="AG273" s="4">
        <f>$O$273*$AA$273</f>
        <v>1.4345378996408937</v>
      </c>
    </row>
    <row r="274" spans="1:3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44743</v>
      </c>
      <c r="J274" s="4">
        <v>0</v>
      </c>
      <c r="K274" s="4">
        <v>0</v>
      </c>
      <c r="L274" s="4">
        <v>15.99</v>
      </c>
      <c r="M274" s="4">
        <v>15.99</v>
      </c>
      <c r="N274" s="4">
        <v>15.99</v>
      </c>
      <c r="O274" s="4">
        <v>15.99</v>
      </c>
      <c r="P274" s="4">
        <v>10</v>
      </c>
      <c r="Q274" s="3" t="s">
        <v>26</v>
      </c>
      <c r="R274" s="3">
        <v>0</v>
      </c>
      <c r="S274" s="4">
        <v>0</v>
      </c>
      <c r="T274" s="4">
        <v>77</v>
      </c>
      <c r="U274" s="4">
        <v>84</v>
      </c>
      <c r="V274" s="4">
        <f>IF(ISERROR(VLOOKUP($S$274,'TAR FIN'!$A$1:$O$88,15,0)),0,VLOOKUP($S$274,'TAR FIN'!$A$1:$O$88,15,0))</f>
        <v>0</v>
      </c>
      <c r="W274" s="4">
        <f>IF(ISERROR(VLOOKUP($T$274,'TAR FIN'!$A$1:$O$88,15,0)),0,VLOOKUP($T$274,'TAR FIN'!$A$1:$O$88,15,0))</f>
        <v>154.44999999999999</v>
      </c>
      <c r="X274" s="4">
        <f>IF(ISERROR(VLOOKUP($U$274,'TAR FIN'!$A$1:$O$88,15,0)),0,VLOOKUP($U$274,'TAR FIN'!$A$1:$O$88,15,0))</f>
        <v>52.59</v>
      </c>
      <c r="Y274" s="4"/>
      <c r="Z274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4" s="4">
        <f>('TE BE'!$AB$11+'TE BF'!$AB$11+'TE CVA'!$AB$11)*(1-CUSTOS!$M$34)</f>
        <v>47.817929988029796</v>
      </c>
      <c r="AB274" s="4">
        <f>$K$274*$V$274</f>
        <v>0</v>
      </c>
      <c r="AC274" s="4">
        <f>$M$274*$W$274</f>
        <v>2469.6554999999998</v>
      </c>
      <c r="AD274" s="4">
        <f>$O$274*$X$274</f>
        <v>840.91410000000008</v>
      </c>
      <c r="AE274" s="4">
        <f>$K$274*$Y$274</f>
        <v>0</v>
      </c>
      <c r="AF274" s="4">
        <f ca="1">$M$274*$Z$274</f>
        <v>2731.4449245439314</v>
      </c>
      <c r="AG274" s="4">
        <f>$O$274*$AA$274</f>
        <v>764.60870050859648</v>
      </c>
    </row>
    <row r="275" spans="1:33" ht="11.25" customHeight="1" x14ac:dyDescent="0.25">
      <c r="A275" s="3" t="s">
        <v>27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0.06</v>
      </c>
      <c r="M275" s="4">
        <v>0.06</v>
      </c>
      <c r="N275" s="4">
        <v>0.06</v>
      </c>
      <c r="O275" s="4">
        <v>0.06</v>
      </c>
      <c r="P275" s="4">
        <v>0</v>
      </c>
      <c r="Q275" s="3" t="s">
        <v>26</v>
      </c>
      <c r="R275" s="3">
        <v>0</v>
      </c>
      <c r="S275" s="4">
        <v>0</v>
      </c>
      <c r="T275" s="4">
        <v>77</v>
      </c>
      <c r="U275" s="4">
        <v>84</v>
      </c>
      <c r="V275" s="4">
        <f>IF(ISERROR(VLOOKUP($S$275,'TAR FIN'!$A$1:$O$88,15,0)),0,VLOOKUP($S$275,'TAR FIN'!$A$1:$O$88,15,0))</f>
        <v>0</v>
      </c>
      <c r="W275" s="4">
        <f>IF(ISERROR(VLOOKUP($T$275,'TAR FIN'!$A$1:$O$88,15,0)),0,VLOOKUP($T$275,'TAR FIN'!$A$1:$O$88,15,0))</f>
        <v>154.44999999999999</v>
      </c>
      <c r="X275" s="4">
        <f>IF(ISERROR(VLOOKUP($U$275,'TAR FIN'!$A$1:$O$88,15,0)),0,VLOOKUP($U$275,'TAR FIN'!$A$1:$O$88,15,0))</f>
        <v>52.59</v>
      </c>
      <c r="Y275" s="4"/>
      <c r="Z275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5" s="4">
        <f>('TE BE'!$AB$11+'TE BF'!$AB$11+'TE CVA'!$AB$11)*(1-CUSTOS!$M$34)</f>
        <v>47.817929988029796</v>
      </c>
      <c r="AB275" s="4">
        <f>$K$275*$V$275</f>
        <v>0</v>
      </c>
      <c r="AC275" s="4">
        <f>$M$275*$W$275</f>
        <v>9.2669999999999995</v>
      </c>
      <c r="AD275" s="4">
        <f>$O$275*$X$275</f>
        <v>3.1554000000000002</v>
      </c>
      <c r="AE275" s="4">
        <f>$K$275*$Y$275</f>
        <v>0</v>
      </c>
      <c r="AF275" s="4">
        <f ca="1">$M$275*$Z$275</f>
        <v>10.249324294723944</v>
      </c>
      <c r="AG275" s="4">
        <f>$O$275*$AA$275</f>
        <v>2.8690757992817875</v>
      </c>
    </row>
    <row r="276" spans="1:33" ht="11.25" customHeight="1" x14ac:dyDescent="0.25">
      <c r="A276" s="3" t="s">
        <v>55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15.99</v>
      </c>
      <c r="M276" s="4">
        <v>15.99</v>
      </c>
      <c r="N276" s="4">
        <v>15.99</v>
      </c>
      <c r="O276" s="4">
        <v>15.99</v>
      </c>
      <c r="P276" s="4">
        <v>10</v>
      </c>
      <c r="Q276" s="3" t="s">
        <v>26</v>
      </c>
      <c r="R276" s="3">
        <v>0</v>
      </c>
      <c r="S276" s="4">
        <v>0</v>
      </c>
      <c r="T276" s="4">
        <v>77</v>
      </c>
      <c r="U276" s="4">
        <v>84</v>
      </c>
      <c r="V276" s="4">
        <f>IF(ISERROR(VLOOKUP($S$276,'TAR FIN'!$A$1:$O$88,15,0)),0,VLOOKUP($S$276,'TAR FIN'!$A$1:$O$88,15,0))</f>
        <v>0</v>
      </c>
      <c r="W276" s="4">
        <f>IF(ISERROR(VLOOKUP($T$276,'TAR FIN'!$A$1:$O$88,15,0)),0,VLOOKUP($T$276,'TAR FIN'!$A$1:$O$88,15,0))</f>
        <v>154.44999999999999</v>
      </c>
      <c r="X276" s="4">
        <f>IF(ISERROR(VLOOKUP($U$276,'TAR FIN'!$A$1:$O$88,15,0)),0,VLOOKUP($U$276,'TAR FIN'!$A$1:$O$88,15,0))</f>
        <v>52.59</v>
      </c>
      <c r="Y276" s="4"/>
      <c r="Z276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6" s="4">
        <f>('TE BE'!$AB$11+'TE BF'!$AB$11+'TE CVA'!$AB$11)*(1-CUSTOS!$M$34)</f>
        <v>47.817929988029796</v>
      </c>
      <c r="AB276" s="4">
        <f>$K$276*$V$276</f>
        <v>0</v>
      </c>
      <c r="AC276" s="4">
        <f>$M$276*$W$276</f>
        <v>2469.6554999999998</v>
      </c>
      <c r="AD276" s="4">
        <f>$O$276*$X$276</f>
        <v>840.91410000000008</v>
      </c>
      <c r="AE276" s="4">
        <f>$K$276*$Y$276</f>
        <v>0</v>
      </c>
      <c r="AF276" s="4">
        <f ca="1">$M$276*$Z$276</f>
        <v>2731.4449245439314</v>
      </c>
      <c r="AG276" s="4">
        <f>$O$276*$AA$276</f>
        <v>764.60870050859648</v>
      </c>
    </row>
    <row r="277" spans="1:33" ht="11.25" customHeight="1" x14ac:dyDescent="0.25">
      <c r="A277" s="3" t="s">
        <v>55</v>
      </c>
      <c r="B277" s="3" t="s">
        <v>22</v>
      </c>
      <c r="C277" s="3" t="s">
        <v>23</v>
      </c>
      <c r="D277" s="3" t="s">
        <v>24</v>
      </c>
      <c r="E277" s="3" t="s">
        <v>29</v>
      </c>
      <c r="F277" s="3" t="s">
        <v>25</v>
      </c>
      <c r="G277" s="3" t="s">
        <v>25</v>
      </c>
      <c r="H277" s="3" t="s">
        <v>25</v>
      </c>
      <c r="I277" s="6">
        <v>44774</v>
      </c>
      <c r="J277" s="4">
        <v>0</v>
      </c>
      <c r="K277" s="4">
        <v>0</v>
      </c>
      <c r="L277" s="4">
        <v>0.06</v>
      </c>
      <c r="M277" s="4">
        <v>0.06</v>
      </c>
      <c r="N277" s="4">
        <v>0.06</v>
      </c>
      <c r="O277" s="4">
        <v>0.06</v>
      </c>
      <c r="P277" s="4">
        <v>0</v>
      </c>
      <c r="Q277" s="3" t="s">
        <v>26</v>
      </c>
      <c r="R277" s="3">
        <v>0</v>
      </c>
      <c r="S277" s="4">
        <v>0</v>
      </c>
      <c r="T277" s="4">
        <v>77</v>
      </c>
      <c r="U277" s="4">
        <v>84</v>
      </c>
      <c r="V277" s="4">
        <f>IF(ISERROR(VLOOKUP($S$277,'TAR FIN'!$A$1:$O$88,15,0)),0,VLOOKUP($S$277,'TAR FIN'!$A$1:$O$88,15,0))</f>
        <v>0</v>
      </c>
      <c r="W277" s="4">
        <f>IF(ISERROR(VLOOKUP($T$277,'TAR FIN'!$A$1:$O$88,15,0)),0,VLOOKUP($T$277,'TAR FIN'!$A$1:$O$88,15,0))</f>
        <v>154.44999999999999</v>
      </c>
      <c r="X277" s="4">
        <f>IF(ISERROR(VLOOKUP($U$277,'TAR FIN'!$A$1:$O$88,15,0)),0,VLOOKUP($U$277,'TAR FIN'!$A$1:$O$88,15,0))</f>
        <v>52.59</v>
      </c>
      <c r="Y277" s="4"/>
      <c r="Z277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277" s="4">
        <f>('TE BE'!$AB$11+'TE BF'!$AB$11+'TE CVA'!$AB$11)*(1-CUSTOS!$M$34)</f>
        <v>47.817929988029796</v>
      </c>
      <c r="AB277" s="4">
        <f>$K$277*$V$277</f>
        <v>0</v>
      </c>
      <c r="AC277" s="4">
        <f>$M$277*$W$277</f>
        <v>9.2669999999999995</v>
      </c>
      <c r="AD277" s="4">
        <f>$O$277*$X$277</f>
        <v>3.1554000000000002</v>
      </c>
      <c r="AE277" s="4">
        <f>$K$277*$Y$277</f>
        <v>0</v>
      </c>
      <c r="AF277" s="4">
        <f ca="1">$M$277*$Z$277</f>
        <v>10.249324294723944</v>
      </c>
      <c r="AG277" s="4">
        <f>$O$277*$AA$277</f>
        <v>2.8690757992817875</v>
      </c>
    </row>
    <row r="278" spans="1:3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44440</v>
      </c>
      <c r="J278" s="4">
        <v>0</v>
      </c>
      <c r="K278" s="4">
        <v>0</v>
      </c>
      <c r="L278" s="4">
        <v>32.567999999999998</v>
      </c>
      <c r="M278" s="4">
        <v>32.567999999999998</v>
      </c>
      <c r="N278" s="4">
        <v>32.567999999999998</v>
      </c>
      <c r="O278" s="4">
        <v>32.567999999999998</v>
      </c>
      <c r="P278" s="4">
        <v>64</v>
      </c>
      <c r="Q278" s="3" t="s">
        <v>26</v>
      </c>
      <c r="R278" s="3">
        <v>0</v>
      </c>
      <c r="S278" s="4">
        <v>0</v>
      </c>
      <c r="T278" s="4">
        <v>39</v>
      </c>
      <c r="U278" s="4">
        <v>85</v>
      </c>
      <c r="V278" s="4">
        <f>IF(ISERROR(VLOOKUP($S$278,'TAR FIN'!$A$1:$O$88,15,0)),0,VLOOKUP($S$278,'TAR FIN'!$A$1:$O$88,15,0))</f>
        <v>0</v>
      </c>
      <c r="W278" s="4">
        <f>IF(ISERROR(VLOOKUP($T$278,'TAR FIN'!$A$1:$O$88,15,0)),0,VLOOKUP($T$278,'TAR FIN'!$A$1:$O$88,15,0))</f>
        <v>264.77</v>
      </c>
      <c r="X278" s="4">
        <f>IF(ISERROR(VLOOKUP($U$278,'TAR FIN'!$A$1:$O$88,15,0)),0,VLOOKUP($U$278,'TAR FIN'!$A$1:$O$88,15,0))</f>
        <v>90.16</v>
      </c>
      <c r="Y278" s="4"/>
      <c r="Z278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78" s="4">
        <f>('TE BE'!$AB$12+'TE BF'!$AB$12+'TE CVA'!$AB$12)*(1-CUSTOS!$M$35)</f>
        <v>81.973594265193938</v>
      </c>
      <c r="AB278" s="4">
        <f>$K$278*$V$278</f>
        <v>0</v>
      </c>
      <c r="AC278" s="4">
        <f>$M$278*$W$278</f>
        <v>8623.0293599999986</v>
      </c>
      <c r="AD278" s="4">
        <f>$O$278*$X$278</f>
        <v>2936.3308799999995</v>
      </c>
      <c r="AE278" s="4">
        <f>$K$278*$Y$278</f>
        <v>0</v>
      </c>
      <c r="AF278" s="4">
        <f ca="1">$M$278*$Z$278</f>
        <v>9537.1426751591262</v>
      </c>
      <c r="AG278" s="4">
        <f>$O$278*$AA$278</f>
        <v>2669.7160180288361</v>
      </c>
    </row>
    <row r="279" spans="1:3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44470</v>
      </c>
      <c r="J279" s="4">
        <v>0</v>
      </c>
      <c r="K279" s="4">
        <v>0</v>
      </c>
      <c r="L279" s="4">
        <v>33.476999999999997</v>
      </c>
      <c r="M279" s="4">
        <v>33.476999999999997</v>
      </c>
      <c r="N279" s="4">
        <v>33.476999999999997</v>
      </c>
      <c r="O279" s="4">
        <v>33.476999999999997</v>
      </c>
      <c r="P279" s="4">
        <v>58</v>
      </c>
      <c r="Q279" s="3" t="s">
        <v>26</v>
      </c>
      <c r="R279" s="3">
        <v>0</v>
      </c>
      <c r="S279" s="4">
        <v>0</v>
      </c>
      <c r="T279" s="4">
        <v>39</v>
      </c>
      <c r="U279" s="4">
        <v>85</v>
      </c>
      <c r="V279" s="4">
        <f>IF(ISERROR(VLOOKUP($S$279,'TAR FIN'!$A$1:$O$88,15,0)),0,VLOOKUP($S$279,'TAR FIN'!$A$1:$O$88,15,0))</f>
        <v>0</v>
      </c>
      <c r="W279" s="4">
        <f>IF(ISERROR(VLOOKUP($T$279,'TAR FIN'!$A$1:$O$88,15,0)),0,VLOOKUP($T$279,'TAR FIN'!$A$1:$O$88,15,0))</f>
        <v>264.77</v>
      </c>
      <c r="X279" s="4">
        <f>IF(ISERROR(VLOOKUP($U$279,'TAR FIN'!$A$1:$O$88,15,0)),0,VLOOKUP($U$279,'TAR FIN'!$A$1:$O$88,15,0))</f>
        <v>90.16</v>
      </c>
      <c r="Y279" s="4"/>
      <c r="Z279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79" s="4">
        <f>('TE BE'!$AB$12+'TE BF'!$AB$12+'TE CVA'!$AB$12)*(1-CUSTOS!$M$35)</f>
        <v>81.973594265193938</v>
      </c>
      <c r="AB279" s="4">
        <f>$K$279*$V$279</f>
        <v>0</v>
      </c>
      <c r="AC279" s="4">
        <f>$M$279*$W$279</f>
        <v>8863.7052899999981</v>
      </c>
      <c r="AD279" s="4">
        <f>$O$279*$X$279</f>
        <v>3018.2863199999997</v>
      </c>
      <c r="AE279" s="4">
        <f>$K$279*$Y$279</f>
        <v>0</v>
      </c>
      <c r="AF279" s="4">
        <f ca="1">$M$279*$Z$279</f>
        <v>9803.3322689849574</v>
      </c>
      <c r="AG279" s="4">
        <f>$O$279*$AA$279</f>
        <v>2744.2300152158973</v>
      </c>
    </row>
    <row r="280" spans="1:33" ht="11.25" customHeight="1" x14ac:dyDescent="0.25">
      <c r="A280" s="3" t="s">
        <v>27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44470</v>
      </c>
      <c r="J280" s="4">
        <v>0</v>
      </c>
      <c r="K280" s="4">
        <v>0</v>
      </c>
      <c r="L280" s="4">
        <v>7.0000000000000007E-2</v>
      </c>
      <c r="M280" s="4">
        <v>7.0000000000000007E-2</v>
      </c>
      <c r="N280" s="4">
        <v>7.0000000000000007E-2</v>
      </c>
      <c r="O280" s="4">
        <v>7.0000000000000007E-2</v>
      </c>
      <c r="P280" s="4">
        <v>0</v>
      </c>
      <c r="Q280" s="3" t="s">
        <v>26</v>
      </c>
      <c r="R280" s="3">
        <v>0</v>
      </c>
      <c r="S280" s="4">
        <v>0</v>
      </c>
      <c r="T280" s="4">
        <v>39</v>
      </c>
      <c r="U280" s="4">
        <v>85</v>
      </c>
      <c r="V280" s="4">
        <f>IF(ISERROR(VLOOKUP($S$280,'TAR FIN'!$A$1:$O$88,15,0)),0,VLOOKUP($S$280,'TAR FIN'!$A$1:$O$88,15,0))</f>
        <v>0</v>
      </c>
      <c r="W280" s="4">
        <f>IF(ISERROR(VLOOKUP($T$280,'TAR FIN'!$A$1:$O$88,15,0)),0,VLOOKUP($T$280,'TAR FIN'!$A$1:$O$88,15,0))</f>
        <v>264.77</v>
      </c>
      <c r="X280" s="4">
        <f>IF(ISERROR(VLOOKUP($U$280,'TAR FIN'!$A$1:$O$88,15,0)),0,VLOOKUP($U$280,'TAR FIN'!$A$1:$O$88,15,0))</f>
        <v>90.16</v>
      </c>
      <c r="Y280" s="4"/>
      <c r="Z280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0" s="4">
        <f>('TE BE'!$AB$12+'TE BF'!$AB$12+'TE CVA'!$AB$12)*(1-CUSTOS!$M$35)</f>
        <v>81.973594265193938</v>
      </c>
      <c r="AB280" s="4">
        <f>$K$280*$V$280</f>
        <v>0</v>
      </c>
      <c r="AC280" s="4">
        <f>$M$280*$W$280</f>
        <v>18.533899999999999</v>
      </c>
      <c r="AD280" s="4">
        <f>$O$280*$X$280</f>
        <v>6.3112000000000004</v>
      </c>
      <c r="AE280" s="4">
        <f>$K$280*$Y$280</f>
        <v>0</v>
      </c>
      <c r="AF280" s="4">
        <f ca="1">$M$280*$Z$280</f>
        <v>20.498648589447892</v>
      </c>
      <c r="AG280" s="4">
        <f>$O$280*$AA$280</f>
        <v>5.7381515985635758</v>
      </c>
    </row>
    <row r="281" spans="1:3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44501</v>
      </c>
      <c r="J281" s="4">
        <v>0</v>
      </c>
      <c r="K281" s="4">
        <v>0</v>
      </c>
      <c r="L281" s="4">
        <v>34.073</v>
      </c>
      <c r="M281" s="4">
        <v>34.073</v>
      </c>
      <c r="N281" s="4">
        <v>34.073</v>
      </c>
      <c r="O281" s="4">
        <v>34.073</v>
      </c>
      <c r="P281" s="4">
        <v>58</v>
      </c>
      <c r="Q281" s="3" t="s">
        <v>26</v>
      </c>
      <c r="R281" s="3">
        <v>0</v>
      </c>
      <c r="S281" s="4">
        <v>0</v>
      </c>
      <c r="T281" s="4">
        <v>39</v>
      </c>
      <c r="U281" s="4">
        <v>85</v>
      </c>
      <c r="V281" s="4">
        <f>IF(ISERROR(VLOOKUP($S$281,'TAR FIN'!$A$1:$O$88,15,0)),0,VLOOKUP($S$281,'TAR FIN'!$A$1:$O$88,15,0))</f>
        <v>0</v>
      </c>
      <c r="W281" s="4">
        <f>IF(ISERROR(VLOOKUP($T$281,'TAR FIN'!$A$1:$O$88,15,0)),0,VLOOKUP($T$281,'TAR FIN'!$A$1:$O$88,15,0))</f>
        <v>264.77</v>
      </c>
      <c r="X281" s="4">
        <f>IF(ISERROR(VLOOKUP($U$281,'TAR FIN'!$A$1:$O$88,15,0)),0,VLOOKUP($U$281,'TAR FIN'!$A$1:$O$88,15,0))</f>
        <v>90.16</v>
      </c>
      <c r="Y281" s="4"/>
      <c r="Z281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1" s="4">
        <f>('TE BE'!$AB$12+'TE BF'!$AB$12+'TE CVA'!$AB$12)*(1-CUSTOS!$M$35)</f>
        <v>81.973594265193938</v>
      </c>
      <c r="AB281" s="4">
        <f>$K$281*$V$281</f>
        <v>0</v>
      </c>
      <c r="AC281" s="4">
        <f>$M$281*$W$281</f>
        <v>9021.50821</v>
      </c>
      <c r="AD281" s="4">
        <f>$O$281*$X$281</f>
        <v>3072.0216799999998</v>
      </c>
      <c r="AE281" s="4">
        <f>$K$281*$Y$281</f>
        <v>0</v>
      </c>
      <c r="AF281" s="4">
        <f ca="1">$M$281*$Z$281</f>
        <v>9977.8636198322565</v>
      </c>
      <c r="AG281" s="4">
        <f>$O$281*$AA$281</f>
        <v>2793.0862773979529</v>
      </c>
    </row>
    <row r="282" spans="1:3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44531</v>
      </c>
      <c r="J282" s="4">
        <v>0</v>
      </c>
      <c r="K282" s="4">
        <v>0</v>
      </c>
      <c r="L282" s="4">
        <v>34.677</v>
      </c>
      <c r="M282" s="4">
        <v>34.677</v>
      </c>
      <c r="N282" s="4">
        <v>34.677</v>
      </c>
      <c r="O282" s="4">
        <v>34.677</v>
      </c>
      <c r="P282" s="4">
        <v>50</v>
      </c>
      <c r="Q282" s="3" t="s">
        <v>26</v>
      </c>
      <c r="R282" s="3">
        <v>0</v>
      </c>
      <c r="S282" s="4">
        <v>0</v>
      </c>
      <c r="T282" s="4">
        <v>39</v>
      </c>
      <c r="U282" s="4">
        <v>85</v>
      </c>
      <c r="V282" s="4">
        <f>IF(ISERROR(VLOOKUP($S$282,'TAR FIN'!$A$1:$O$88,15,0)),0,VLOOKUP($S$282,'TAR FIN'!$A$1:$O$88,15,0))</f>
        <v>0</v>
      </c>
      <c r="W282" s="4">
        <f>IF(ISERROR(VLOOKUP($T$282,'TAR FIN'!$A$1:$O$88,15,0)),0,VLOOKUP($T$282,'TAR FIN'!$A$1:$O$88,15,0))</f>
        <v>264.77</v>
      </c>
      <c r="X282" s="4">
        <f>IF(ISERROR(VLOOKUP($U$282,'TAR FIN'!$A$1:$O$88,15,0)),0,VLOOKUP($U$282,'TAR FIN'!$A$1:$O$88,15,0))</f>
        <v>90.16</v>
      </c>
      <c r="Y282" s="4"/>
      <c r="Z282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2" s="4">
        <f>('TE BE'!$AB$12+'TE BF'!$AB$12+'TE CVA'!$AB$12)*(1-CUSTOS!$M$35)</f>
        <v>81.973594265193938</v>
      </c>
      <c r="AB282" s="4">
        <f>$K$282*$V$282</f>
        <v>0</v>
      </c>
      <c r="AC282" s="4">
        <f>$M$282*$W$282</f>
        <v>9181.42929</v>
      </c>
      <c r="AD282" s="4">
        <f>$O$282*$X$282</f>
        <v>3126.4783199999997</v>
      </c>
      <c r="AE282" s="4">
        <f>$K$282*$Y$282</f>
        <v>0</v>
      </c>
      <c r="AF282" s="4">
        <f ca="1">$M$282*$Z$282</f>
        <v>10154.737673375494</v>
      </c>
      <c r="AG282" s="4">
        <f>$O$282*$AA$282</f>
        <v>2842.5983283341302</v>
      </c>
    </row>
    <row r="283" spans="1:3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44562</v>
      </c>
      <c r="J283" s="4">
        <v>0</v>
      </c>
      <c r="K283" s="4">
        <v>0</v>
      </c>
      <c r="L283" s="4">
        <v>35.03</v>
      </c>
      <c r="M283" s="4">
        <v>35.03</v>
      </c>
      <c r="N283" s="4">
        <v>35.03</v>
      </c>
      <c r="O283" s="4">
        <v>35.03</v>
      </c>
      <c r="P283" s="4">
        <v>38</v>
      </c>
      <c r="Q283" s="3" t="s">
        <v>26</v>
      </c>
      <c r="R283" s="3">
        <v>0</v>
      </c>
      <c r="S283" s="4">
        <v>0</v>
      </c>
      <c r="T283" s="4">
        <v>39</v>
      </c>
      <c r="U283" s="4">
        <v>85</v>
      </c>
      <c r="V283" s="4">
        <f>IF(ISERROR(VLOOKUP($S$283,'TAR FIN'!$A$1:$O$88,15,0)),0,VLOOKUP($S$283,'TAR FIN'!$A$1:$O$88,15,0))</f>
        <v>0</v>
      </c>
      <c r="W283" s="4">
        <f>IF(ISERROR(VLOOKUP($T$283,'TAR FIN'!$A$1:$O$88,15,0)),0,VLOOKUP($T$283,'TAR FIN'!$A$1:$O$88,15,0))</f>
        <v>264.77</v>
      </c>
      <c r="X283" s="4">
        <f>IF(ISERROR(VLOOKUP($U$283,'TAR FIN'!$A$1:$O$88,15,0)),0,VLOOKUP($U$283,'TAR FIN'!$A$1:$O$88,15,0))</f>
        <v>90.16</v>
      </c>
      <c r="Y283" s="4"/>
      <c r="Z283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3" s="4">
        <f>('TE BE'!$AB$12+'TE BF'!$AB$12+'TE CVA'!$AB$12)*(1-CUSTOS!$M$35)</f>
        <v>81.973594265193938</v>
      </c>
      <c r="AB283" s="4">
        <f>$K$283*$V$283</f>
        <v>0</v>
      </c>
      <c r="AC283" s="4">
        <f>$M$283*$W$283</f>
        <v>9274.8930999999993</v>
      </c>
      <c r="AD283" s="4">
        <f>$O$283*$X$283</f>
        <v>3158.3047999999999</v>
      </c>
      <c r="AE283" s="4">
        <f>$K$283*$Y$283</f>
        <v>0</v>
      </c>
      <c r="AF283" s="4">
        <f ca="1">$M$283*$Z$283</f>
        <v>10258.109429833708</v>
      </c>
      <c r="AG283" s="4">
        <f>$O$283*$AA$283</f>
        <v>2871.5350071097437</v>
      </c>
    </row>
    <row r="284" spans="1:3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30</v>
      </c>
      <c r="F284" s="3" t="s">
        <v>25</v>
      </c>
      <c r="G284" s="3" t="s">
        <v>25</v>
      </c>
      <c r="H284" s="3" t="s">
        <v>25</v>
      </c>
      <c r="I284" s="6">
        <v>44593</v>
      </c>
      <c r="J284" s="4">
        <v>0</v>
      </c>
      <c r="K284" s="4">
        <v>0</v>
      </c>
      <c r="L284" s="4">
        <v>35.380000000000003</v>
      </c>
      <c r="M284" s="4">
        <v>35.380000000000003</v>
      </c>
      <c r="N284" s="4">
        <v>35.380000000000003</v>
      </c>
      <c r="O284" s="4">
        <v>35.380000000000003</v>
      </c>
      <c r="P284" s="4">
        <v>43</v>
      </c>
      <c r="Q284" s="3" t="s">
        <v>26</v>
      </c>
      <c r="R284" s="3">
        <v>0</v>
      </c>
      <c r="S284" s="4">
        <v>0</v>
      </c>
      <c r="T284" s="4">
        <v>39</v>
      </c>
      <c r="U284" s="4">
        <v>85</v>
      </c>
      <c r="V284" s="4">
        <f>IF(ISERROR(VLOOKUP($S$284,'TAR FIN'!$A$1:$O$88,15,0)),0,VLOOKUP($S$284,'TAR FIN'!$A$1:$O$88,15,0))</f>
        <v>0</v>
      </c>
      <c r="W284" s="4">
        <f>IF(ISERROR(VLOOKUP($T$284,'TAR FIN'!$A$1:$O$88,15,0)),0,VLOOKUP($T$284,'TAR FIN'!$A$1:$O$88,15,0))</f>
        <v>264.77</v>
      </c>
      <c r="X284" s="4">
        <f>IF(ISERROR(VLOOKUP($U$284,'TAR FIN'!$A$1:$O$88,15,0)),0,VLOOKUP($U$284,'TAR FIN'!$A$1:$O$88,15,0))</f>
        <v>90.16</v>
      </c>
      <c r="Y284" s="4"/>
      <c r="Z284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4" s="4">
        <f>('TE BE'!$AB$12+'TE BF'!$AB$12+'TE CVA'!$AB$12)*(1-CUSTOS!$M$35)</f>
        <v>81.973594265193938</v>
      </c>
      <c r="AB284" s="4">
        <f>$K$284*$V$284</f>
        <v>0</v>
      </c>
      <c r="AC284" s="4">
        <f>$M$284*$W$284</f>
        <v>9367.5625999999993</v>
      </c>
      <c r="AD284" s="4">
        <f>$O$284*$X$284</f>
        <v>3189.8607999999999</v>
      </c>
      <c r="AE284" s="4">
        <f>$K$284*$Y$284</f>
        <v>0</v>
      </c>
      <c r="AF284" s="4">
        <f ca="1">$M$284*$Z$284</f>
        <v>10360.602672780949</v>
      </c>
      <c r="AG284" s="4">
        <f>$O$284*$AA$284</f>
        <v>2900.2257651025616</v>
      </c>
    </row>
    <row r="285" spans="1:3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30</v>
      </c>
      <c r="F285" s="3" t="s">
        <v>25</v>
      </c>
      <c r="G285" s="3" t="s">
        <v>25</v>
      </c>
      <c r="H285" s="3" t="s">
        <v>25</v>
      </c>
      <c r="I285" s="6">
        <v>44621</v>
      </c>
      <c r="J285" s="4">
        <v>0</v>
      </c>
      <c r="K285" s="4">
        <v>0</v>
      </c>
      <c r="L285" s="4">
        <v>36.347999999999999</v>
      </c>
      <c r="M285" s="4">
        <v>36.347999999999999</v>
      </c>
      <c r="N285" s="4">
        <v>36.347999999999999</v>
      </c>
      <c r="O285" s="4">
        <v>36.347999999999999</v>
      </c>
      <c r="P285" s="4">
        <v>43</v>
      </c>
      <c r="Q285" s="3" t="s">
        <v>26</v>
      </c>
      <c r="R285" s="3">
        <v>0</v>
      </c>
      <c r="S285" s="4">
        <v>0</v>
      </c>
      <c r="T285" s="4">
        <v>39</v>
      </c>
      <c r="U285" s="4">
        <v>85</v>
      </c>
      <c r="V285" s="4">
        <f>IF(ISERROR(VLOOKUP($S$285,'TAR FIN'!$A$1:$O$88,15,0)),0,VLOOKUP($S$285,'TAR FIN'!$A$1:$O$88,15,0))</f>
        <v>0</v>
      </c>
      <c r="W285" s="4">
        <f>IF(ISERROR(VLOOKUP($T$285,'TAR FIN'!$A$1:$O$88,15,0)),0,VLOOKUP($T$285,'TAR FIN'!$A$1:$O$88,15,0))</f>
        <v>264.77</v>
      </c>
      <c r="X285" s="4">
        <f>IF(ISERROR(VLOOKUP($U$285,'TAR FIN'!$A$1:$O$88,15,0)),0,VLOOKUP($U$285,'TAR FIN'!$A$1:$O$88,15,0))</f>
        <v>90.16</v>
      </c>
      <c r="Y285" s="4"/>
      <c r="Z285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5" s="4">
        <f>('TE BE'!$AB$12+'TE BF'!$AB$12+'TE CVA'!$AB$12)*(1-CUSTOS!$M$35)</f>
        <v>81.973594265193938</v>
      </c>
      <c r="AB285" s="4">
        <f>$K$285*$V$285</f>
        <v>0</v>
      </c>
      <c r="AC285" s="4">
        <f>$M$285*$W$285</f>
        <v>9623.8599599999998</v>
      </c>
      <c r="AD285" s="4">
        <f>$O$285*$X$285</f>
        <v>3277.1356799999999</v>
      </c>
      <c r="AE285" s="4">
        <f>$K$285*$Y$285</f>
        <v>0</v>
      </c>
      <c r="AF285" s="4">
        <f ca="1">$M$285*$Z$285</f>
        <v>10644.069698989313</v>
      </c>
      <c r="AG285" s="4">
        <f>$O$285*$AA$285</f>
        <v>2979.5762043512691</v>
      </c>
    </row>
    <row r="286" spans="1:33" ht="11.25" customHeight="1" x14ac:dyDescent="0.25">
      <c r="A286" s="3" t="s">
        <v>27</v>
      </c>
      <c r="B286" s="3" t="s">
        <v>22</v>
      </c>
      <c r="C286" s="3" t="s">
        <v>23</v>
      </c>
      <c r="D286" s="3" t="s">
        <v>24</v>
      </c>
      <c r="E286" s="3" t="s">
        <v>30</v>
      </c>
      <c r="F286" s="3" t="s">
        <v>25</v>
      </c>
      <c r="G286" s="3" t="s">
        <v>25</v>
      </c>
      <c r="H286" s="3" t="s">
        <v>25</v>
      </c>
      <c r="I286" s="6">
        <v>44621</v>
      </c>
      <c r="J286" s="4">
        <v>0</v>
      </c>
      <c r="K286" s="4">
        <v>0</v>
      </c>
      <c r="L286" s="4">
        <v>7.0000000000000007E-2</v>
      </c>
      <c r="M286" s="4">
        <v>7.0000000000000007E-2</v>
      </c>
      <c r="N286" s="4">
        <v>7.0000000000000007E-2</v>
      </c>
      <c r="O286" s="4">
        <v>7.0000000000000007E-2</v>
      </c>
      <c r="P286" s="4">
        <v>0</v>
      </c>
      <c r="Q286" s="3" t="s">
        <v>26</v>
      </c>
      <c r="R286" s="3">
        <v>0</v>
      </c>
      <c r="S286" s="4">
        <v>0</v>
      </c>
      <c r="T286" s="4">
        <v>39</v>
      </c>
      <c r="U286" s="4">
        <v>85</v>
      </c>
      <c r="V286" s="4">
        <f>IF(ISERROR(VLOOKUP($S$286,'TAR FIN'!$A$1:$O$88,15,0)),0,VLOOKUP($S$286,'TAR FIN'!$A$1:$O$88,15,0))</f>
        <v>0</v>
      </c>
      <c r="W286" s="4">
        <f>IF(ISERROR(VLOOKUP($T$286,'TAR FIN'!$A$1:$O$88,15,0)),0,VLOOKUP($T$286,'TAR FIN'!$A$1:$O$88,15,0))</f>
        <v>264.77</v>
      </c>
      <c r="X286" s="4">
        <f>IF(ISERROR(VLOOKUP($U$286,'TAR FIN'!$A$1:$O$88,15,0)),0,VLOOKUP($U$286,'TAR FIN'!$A$1:$O$88,15,0))</f>
        <v>90.16</v>
      </c>
      <c r="Y286" s="4"/>
      <c r="Z286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6" s="4">
        <f>('TE BE'!$AB$12+'TE BF'!$AB$12+'TE CVA'!$AB$12)*(1-CUSTOS!$M$35)</f>
        <v>81.973594265193938</v>
      </c>
      <c r="AB286" s="4">
        <f>$K$286*$V$286</f>
        <v>0</v>
      </c>
      <c r="AC286" s="4">
        <f>$M$286*$W$286</f>
        <v>18.533899999999999</v>
      </c>
      <c r="AD286" s="4">
        <f>$O$286*$X$286</f>
        <v>6.3112000000000004</v>
      </c>
      <c r="AE286" s="4">
        <f>$K$286*$Y$286</f>
        <v>0</v>
      </c>
      <c r="AF286" s="4">
        <f ca="1">$M$286*$Z$286</f>
        <v>20.498648589447892</v>
      </c>
      <c r="AG286" s="4">
        <f>$O$286*$AA$286</f>
        <v>5.7381515985635758</v>
      </c>
    </row>
    <row r="287" spans="1:3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30</v>
      </c>
      <c r="F287" s="3" t="s">
        <v>25</v>
      </c>
      <c r="G287" s="3" t="s">
        <v>25</v>
      </c>
      <c r="H287" s="3" t="s">
        <v>25</v>
      </c>
      <c r="I287" s="6">
        <v>44652</v>
      </c>
      <c r="J287" s="4">
        <v>0</v>
      </c>
      <c r="K287" s="4">
        <v>0</v>
      </c>
      <c r="L287" s="4">
        <v>37.302</v>
      </c>
      <c r="M287" s="4">
        <v>37.302</v>
      </c>
      <c r="N287" s="4">
        <v>37.302</v>
      </c>
      <c r="O287" s="4">
        <v>37.302</v>
      </c>
      <c r="P287" s="4">
        <v>50</v>
      </c>
      <c r="Q287" s="3" t="s">
        <v>26</v>
      </c>
      <c r="R287" s="3">
        <v>0</v>
      </c>
      <c r="S287" s="4">
        <v>0</v>
      </c>
      <c r="T287" s="4">
        <v>39</v>
      </c>
      <c r="U287" s="4">
        <v>85</v>
      </c>
      <c r="V287" s="4">
        <f>IF(ISERROR(VLOOKUP($S$287,'TAR FIN'!$A$1:$O$88,15,0)),0,VLOOKUP($S$287,'TAR FIN'!$A$1:$O$88,15,0))</f>
        <v>0</v>
      </c>
      <c r="W287" s="4">
        <f>IF(ISERROR(VLOOKUP($T$287,'TAR FIN'!$A$1:$O$88,15,0)),0,VLOOKUP($T$287,'TAR FIN'!$A$1:$O$88,15,0))</f>
        <v>264.77</v>
      </c>
      <c r="X287" s="4">
        <f>IF(ISERROR(VLOOKUP($U$287,'TAR FIN'!$A$1:$O$88,15,0)),0,VLOOKUP($U$287,'TAR FIN'!$A$1:$O$88,15,0))</f>
        <v>90.16</v>
      </c>
      <c r="Y287" s="4"/>
      <c r="Z287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7" s="4">
        <f>('TE BE'!$AB$12+'TE BF'!$AB$12+'TE CVA'!$AB$12)*(1-CUSTOS!$M$35)</f>
        <v>81.973594265193938</v>
      </c>
      <c r="AB287" s="4">
        <f>$K$287*$V$287</f>
        <v>0</v>
      </c>
      <c r="AC287" s="4">
        <f>$M$287*$W$287</f>
        <v>9876.4505399999998</v>
      </c>
      <c r="AD287" s="4">
        <f>$O$287*$X$287</f>
        <v>3363.1483199999998</v>
      </c>
      <c r="AE287" s="4">
        <f>$K$287*$Y$287</f>
        <v>0</v>
      </c>
      <c r="AF287" s="4">
        <f ca="1">$M$287*$Z$287</f>
        <v>10923.436995479789</v>
      </c>
      <c r="AG287" s="4">
        <f>$O$287*$AA$287</f>
        <v>3057.7790132802643</v>
      </c>
    </row>
    <row r="288" spans="1:3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30</v>
      </c>
      <c r="F288" s="3" t="s">
        <v>25</v>
      </c>
      <c r="G288" s="3" t="s">
        <v>25</v>
      </c>
      <c r="H288" s="3" t="s">
        <v>25</v>
      </c>
      <c r="I288" s="6">
        <v>44682</v>
      </c>
      <c r="J288" s="4">
        <v>0</v>
      </c>
      <c r="K288" s="4">
        <v>0</v>
      </c>
      <c r="L288" s="4">
        <v>38.965000000000003</v>
      </c>
      <c r="M288" s="4">
        <v>38.965000000000003</v>
      </c>
      <c r="N288" s="4">
        <v>38.965000000000003</v>
      </c>
      <c r="O288" s="4">
        <v>38.965000000000003</v>
      </c>
      <c r="P288" s="4">
        <v>97</v>
      </c>
      <c r="Q288" s="3" t="s">
        <v>26</v>
      </c>
      <c r="R288" s="3">
        <v>0</v>
      </c>
      <c r="S288" s="4">
        <v>0</v>
      </c>
      <c r="T288" s="4">
        <v>39</v>
      </c>
      <c r="U288" s="4">
        <v>85</v>
      </c>
      <c r="V288" s="4">
        <f>IF(ISERROR(VLOOKUP($S$288,'TAR FIN'!$A$1:$O$88,15,0)),0,VLOOKUP($S$288,'TAR FIN'!$A$1:$O$88,15,0))</f>
        <v>0</v>
      </c>
      <c r="W288" s="4">
        <f>IF(ISERROR(VLOOKUP($T$288,'TAR FIN'!$A$1:$O$88,15,0)),0,VLOOKUP($T$288,'TAR FIN'!$A$1:$O$88,15,0))</f>
        <v>264.77</v>
      </c>
      <c r="X288" s="4">
        <f>IF(ISERROR(VLOOKUP($U$288,'TAR FIN'!$A$1:$O$88,15,0)),0,VLOOKUP($U$288,'TAR FIN'!$A$1:$O$88,15,0))</f>
        <v>90.16</v>
      </c>
      <c r="Y288" s="4"/>
      <c r="Z288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8" s="4">
        <f>('TE BE'!$AB$12+'TE BF'!$AB$12+'TE CVA'!$AB$12)*(1-CUSTOS!$M$35)</f>
        <v>81.973594265193938</v>
      </c>
      <c r="AB288" s="4">
        <f>$K$288*$V$288</f>
        <v>0</v>
      </c>
      <c r="AC288" s="4">
        <f>$M$288*$W$288</f>
        <v>10316.76305</v>
      </c>
      <c r="AD288" s="4">
        <f>$O$288*$X$288</f>
        <v>3513.0844000000002</v>
      </c>
      <c r="AE288" s="4">
        <f>$K$288*$Y$288</f>
        <v>0</v>
      </c>
      <c r="AF288" s="4">
        <f ca="1">$M$288*$Z$288</f>
        <v>11410.426318397673</v>
      </c>
      <c r="AG288" s="4">
        <f>$O$288*$AA$288</f>
        <v>3194.101100543282</v>
      </c>
    </row>
    <row r="289" spans="1:3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30</v>
      </c>
      <c r="F289" s="3" t="s">
        <v>25</v>
      </c>
      <c r="G289" s="3" t="s">
        <v>25</v>
      </c>
      <c r="H289" s="3" t="s">
        <v>25</v>
      </c>
      <c r="I289" s="6">
        <v>44713</v>
      </c>
      <c r="J289" s="4">
        <v>0</v>
      </c>
      <c r="K289" s="4">
        <v>0</v>
      </c>
      <c r="L289" s="4">
        <v>33.924999999999997</v>
      </c>
      <c r="M289" s="4">
        <v>33.924999999999997</v>
      </c>
      <c r="N289" s="4">
        <v>33.924999999999997</v>
      </c>
      <c r="O289" s="4">
        <v>33.924999999999997</v>
      </c>
      <c r="P289" s="4">
        <v>78</v>
      </c>
      <c r="Q289" s="3" t="s">
        <v>26</v>
      </c>
      <c r="R289" s="3">
        <v>0</v>
      </c>
      <c r="S289" s="4">
        <v>0</v>
      </c>
      <c r="T289" s="4">
        <v>39</v>
      </c>
      <c r="U289" s="4">
        <v>85</v>
      </c>
      <c r="V289" s="4">
        <f>IF(ISERROR(VLOOKUP($S$289,'TAR FIN'!$A$1:$O$88,15,0)),0,VLOOKUP($S$289,'TAR FIN'!$A$1:$O$88,15,0))</f>
        <v>0</v>
      </c>
      <c r="W289" s="4">
        <f>IF(ISERROR(VLOOKUP($T$289,'TAR FIN'!$A$1:$O$88,15,0)),0,VLOOKUP($T$289,'TAR FIN'!$A$1:$O$88,15,0))</f>
        <v>264.77</v>
      </c>
      <c r="X289" s="4">
        <f>IF(ISERROR(VLOOKUP($U$289,'TAR FIN'!$A$1:$O$88,15,0)),0,VLOOKUP($U$289,'TAR FIN'!$A$1:$O$88,15,0))</f>
        <v>90.16</v>
      </c>
      <c r="Y289" s="4"/>
      <c r="Z289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89" s="4">
        <f>('TE BE'!$AB$12+'TE BF'!$AB$12+'TE CVA'!$AB$12)*(1-CUSTOS!$M$35)</f>
        <v>81.973594265193938</v>
      </c>
      <c r="AB289" s="4">
        <f>$K$289*$V$289</f>
        <v>0</v>
      </c>
      <c r="AC289" s="4">
        <f>$M$289*$W$289</f>
        <v>8982.3222499999993</v>
      </c>
      <c r="AD289" s="4">
        <f>$O$289*$X$289</f>
        <v>3058.6779999999994</v>
      </c>
      <c r="AE289" s="4">
        <f>$K$289*$Y$289</f>
        <v>0</v>
      </c>
      <c r="AF289" s="4">
        <f ca="1">$M$289*$Z$289</f>
        <v>9934.5236199574229</v>
      </c>
      <c r="AG289" s="4">
        <f>$O$289*$AA$289</f>
        <v>2780.9541854467043</v>
      </c>
    </row>
    <row r="290" spans="1:33" ht="11.25" customHeight="1" x14ac:dyDescent="0.25">
      <c r="A290" s="3" t="s">
        <v>27</v>
      </c>
      <c r="B290" s="3" t="s">
        <v>22</v>
      </c>
      <c r="C290" s="3" t="s">
        <v>23</v>
      </c>
      <c r="D290" s="3" t="s">
        <v>24</v>
      </c>
      <c r="E290" s="3" t="s">
        <v>30</v>
      </c>
      <c r="F290" s="3" t="s">
        <v>25</v>
      </c>
      <c r="G290" s="3" t="s">
        <v>25</v>
      </c>
      <c r="H290" s="3" t="s">
        <v>25</v>
      </c>
      <c r="I290" s="6">
        <v>44713</v>
      </c>
      <c r="J290" s="4">
        <v>0</v>
      </c>
      <c r="K290" s="4">
        <v>0</v>
      </c>
      <c r="L290" s="4">
        <v>0.02</v>
      </c>
      <c r="M290" s="4">
        <v>0.02</v>
      </c>
      <c r="N290" s="4">
        <v>0.02</v>
      </c>
      <c r="O290" s="4">
        <v>0.02</v>
      </c>
      <c r="P290" s="4">
        <v>0</v>
      </c>
      <c r="Q290" s="3" t="s">
        <v>26</v>
      </c>
      <c r="R290" s="3">
        <v>0</v>
      </c>
      <c r="S290" s="4">
        <v>0</v>
      </c>
      <c r="T290" s="4">
        <v>39</v>
      </c>
      <c r="U290" s="4">
        <v>85</v>
      </c>
      <c r="V290" s="4">
        <f>IF(ISERROR(VLOOKUP($S$290,'TAR FIN'!$A$1:$O$88,15,0)),0,VLOOKUP($S$290,'TAR FIN'!$A$1:$O$88,15,0))</f>
        <v>0</v>
      </c>
      <c r="W290" s="4">
        <f>IF(ISERROR(VLOOKUP($T$290,'TAR FIN'!$A$1:$O$88,15,0)),0,VLOOKUP($T$290,'TAR FIN'!$A$1:$O$88,15,0))</f>
        <v>264.77</v>
      </c>
      <c r="X290" s="4">
        <f>IF(ISERROR(VLOOKUP($U$290,'TAR FIN'!$A$1:$O$88,15,0)),0,VLOOKUP($U$290,'TAR FIN'!$A$1:$O$88,15,0))</f>
        <v>90.16</v>
      </c>
      <c r="Y290" s="4"/>
      <c r="Z290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90" s="4">
        <f>('TE BE'!$AB$12+'TE BF'!$AB$12+'TE CVA'!$AB$12)*(1-CUSTOS!$M$35)</f>
        <v>81.973594265193938</v>
      </c>
      <c r="AB290" s="4">
        <f>$K$290*$V$290</f>
        <v>0</v>
      </c>
      <c r="AC290" s="4">
        <f>$M$290*$W$290</f>
        <v>5.2953999999999999</v>
      </c>
      <c r="AD290" s="4">
        <f>$O$290*$X$290</f>
        <v>1.8031999999999999</v>
      </c>
      <c r="AE290" s="4">
        <f>$K$290*$Y$290</f>
        <v>0</v>
      </c>
      <c r="AF290" s="4">
        <f ca="1">$M$290*$Z$290</f>
        <v>5.8567567398422549</v>
      </c>
      <c r="AG290" s="4">
        <f>$O$290*$AA$290</f>
        <v>1.6394718853038788</v>
      </c>
    </row>
    <row r="291" spans="1:3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30</v>
      </c>
      <c r="F291" s="3" t="s">
        <v>25</v>
      </c>
      <c r="G291" s="3" t="s">
        <v>25</v>
      </c>
      <c r="H291" s="3" t="s">
        <v>25</v>
      </c>
      <c r="I291" s="6">
        <v>44743</v>
      </c>
      <c r="J291" s="4">
        <v>0</v>
      </c>
      <c r="K291" s="4">
        <v>0</v>
      </c>
      <c r="L291" s="4">
        <v>34.805</v>
      </c>
      <c r="M291" s="4">
        <v>34.805</v>
      </c>
      <c r="N291" s="4">
        <v>34.805</v>
      </c>
      <c r="O291" s="4">
        <v>34.805</v>
      </c>
      <c r="P291" s="4">
        <v>72</v>
      </c>
      <c r="Q291" s="3" t="s">
        <v>26</v>
      </c>
      <c r="R291" s="3">
        <v>0</v>
      </c>
      <c r="S291" s="4">
        <v>0</v>
      </c>
      <c r="T291" s="4">
        <v>39</v>
      </c>
      <c r="U291" s="4">
        <v>85</v>
      </c>
      <c r="V291" s="4">
        <f>IF(ISERROR(VLOOKUP($S$291,'TAR FIN'!$A$1:$O$88,15,0)),0,VLOOKUP($S$291,'TAR FIN'!$A$1:$O$88,15,0))</f>
        <v>0</v>
      </c>
      <c r="W291" s="4">
        <f>IF(ISERROR(VLOOKUP($T$291,'TAR FIN'!$A$1:$O$88,15,0)),0,VLOOKUP($T$291,'TAR FIN'!$A$1:$O$88,15,0))</f>
        <v>264.77</v>
      </c>
      <c r="X291" s="4">
        <f>IF(ISERROR(VLOOKUP($U$291,'TAR FIN'!$A$1:$O$88,15,0)),0,VLOOKUP($U$291,'TAR FIN'!$A$1:$O$88,15,0))</f>
        <v>90.16</v>
      </c>
      <c r="Y291" s="4"/>
      <c r="Z291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91" s="4">
        <f>('TE BE'!$AB$12+'TE BF'!$AB$12+'TE CVA'!$AB$12)*(1-CUSTOS!$M$35)</f>
        <v>81.973594265193938</v>
      </c>
      <c r="AB291" s="4">
        <f>$K$291*$V$291</f>
        <v>0</v>
      </c>
      <c r="AC291" s="4">
        <f>$M$291*$W$291</f>
        <v>9215.3198499999999</v>
      </c>
      <c r="AD291" s="4">
        <f>$O$291*$X$291</f>
        <v>3138.0187999999998</v>
      </c>
      <c r="AE291" s="4">
        <f>$K$291*$Y$291</f>
        <v>0</v>
      </c>
      <c r="AF291" s="4">
        <f ca="1">$M$291*$Z$291</f>
        <v>10192.220916510483</v>
      </c>
      <c r="AG291" s="4">
        <f>$O$291*$AA$291</f>
        <v>2853.0909484000749</v>
      </c>
    </row>
    <row r="292" spans="1:33" ht="11.25" customHeight="1" x14ac:dyDescent="0.25">
      <c r="A292" s="3" t="s">
        <v>27</v>
      </c>
      <c r="B292" s="3" t="s">
        <v>22</v>
      </c>
      <c r="C292" s="3" t="s">
        <v>23</v>
      </c>
      <c r="D292" s="3" t="s">
        <v>24</v>
      </c>
      <c r="E292" s="3" t="s">
        <v>30</v>
      </c>
      <c r="F292" s="3" t="s">
        <v>25</v>
      </c>
      <c r="G292" s="3" t="s">
        <v>25</v>
      </c>
      <c r="H292" s="3" t="s">
        <v>25</v>
      </c>
      <c r="I292" s="6">
        <v>44743</v>
      </c>
      <c r="J292" s="4">
        <v>0</v>
      </c>
      <c r="K292" s="4">
        <v>0</v>
      </c>
      <c r="L292" s="4">
        <v>0.14000000000000001</v>
      </c>
      <c r="M292" s="4">
        <v>0.14000000000000001</v>
      </c>
      <c r="N292" s="4">
        <v>0.14000000000000001</v>
      </c>
      <c r="O292" s="4">
        <v>0.14000000000000001</v>
      </c>
      <c r="P292" s="4">
        <v>0</v>
      </c>
      <c r="Q292" s="3" t="s">
        <v>26</v>
      </c>
      <c r="R292" s="3">
        <v>0</v>
      </c>
      <c r="S292" s="4">
        <v>0</v>
      </c>
      <c r="T292" s="4">
        <v>39</v>
      </c>
      <c r="U292" s="4">
        <v>85</v>
      </c>
      <c r="V292" s="4">
        <f>IF(ISERROR(VLOOKUP($S$292,'TAR FIN'!$A$1:$O$88,15,0)),0,VLOOKUP($S$292,'TAR FIN'!$A$1:$O$88,15,0))</f>
        <v>0</v>
      </c>
      <c r="W292" s="4">
        <f>IF(ISERROR(VLOOKUP($T$292,'TAR FIN'!$A$1:$O$88,15,0)),0,VLOOKUP($T$292,'TAR FIN'!$A$1:$O$88,15,0))</f>
        <v>264.77</v>
      </c>
      <c r="X292" s="4">
        <f>IF(ISERROR(VLOOKUP($U$292,'TAR FIN'!$A$1:$O$88,15,0)),0,VLOOKUP($U$292,'TAR FIN'!$A$1:$O$88,15,0))</f>
        <v>90.16</v>
      </c>
      <c r="Y292" s="4"/>
      <c r="Z292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92" s="4">
        <f>('TE BE'!$AB$12+'TE BF'!$AB$12+'TE CVA'!$AB$12)*(1-CUSTOS!$M$35)</f>
        <v>81.973594265193938</v>
      </c>
      <c r="AB292" s="4">
        <f>$K$292*$V$292</f>
        <v>0</v>
      </c>
      <c r="AC292" s="4">
        <f>$M$292*$W$292</f>
        <v>37.067799999999998</v>
      </c>
      <c r="AD292" s="4">
        <f>$O$292*$X$292</f>
        <v>12.622400000000001</v>
      </c>
      <c r="AE292" s="4">
        <f>$K$292*$Y$292</f>
        <v>0</v>
      </c>
      <c r="AF292" s="4">
        <f ca="1">$M$292*$Z$292</f>
        <v>40.997297178895785</v>
      </c>
      <c r="AG292" s="4">
        <f>$O$292*$AA$292</f>
        <v>11.476303197127152</v>
      </c>
    </row>
    <row r="293" spans="1:33" ht="11.25" customHeight="1" x14ac:dyDescent="0.25">
      <c r="A293" s="3" t="s">
        <v>55</v>
      </c>
      <c r="B293" s="3" t="s">
        <v>22</v>
      </c>
      <c r="C293" s="3" t="s">
        <v>23</v>
      </c>
      <c r="D293" s="3" t="s">
        <v>24</v>
      </c>
      <c r="E293" s="3" t="s">
        <v>30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34.805</v>
      </c>
      <c r="M293" s="4">
        <v>34.805</v>
      </c>
      <c r="N293" s="4">
        <v>34.805</v>
      </c>
      <c r="O293" s="4">
        <v>34.805</v>
      </c>
      <c r="P293" s="4">
        <v>72</v>
      </c>
      <c r="Q293" s="3" t="s">
        <v>26</v>
      </c>
      <c r="R293" s="3">
        <v>0</v>
      </c>
      <c r="S293" s="4">
        <v>0</v>
      </c>
      <c r="T293" s="4">
        <v>39</v>
      </c>
      <c r="U293" s="4">
        <v>85</v>
      </c>
      <c r="V293" s="4">
        <f>IF(ISERROR(VLOOKUP($S$293,'TAR FIN'!$A$1:$O$88,15,0)),0,VLOOKUP($S$293,'TAR FIN'!$A$1:$O$88,15,0))</f>
        <v>0</v>
      </c>
      <c r="W293" s="4">
        <f>IF(ISERROR(VLOOKUP($T$293,'TAR FIN'!$A$1:$O$88,15,0)),0,VLOOKUP($T$293,'TAR FIN'!$A$1:$O$88,15,0))</f>
        <v>264.77</v>
      </c>
      <c r="X293" s="4">
        <f>IF(ISERROR(VLOOKUP($U$293,'TAR FIN'!$A$1:$O$88,15,0)),0,VLOOKUP($U$293,'TAR FIN'!$A$1:$O$88,15,0))</f>
        <v>90.16</v>
      </c>
      <c r="Y293" s="4"/>
      <c r="Z293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93" s="4">
        <f>('TE BE'!$AB$12+'TE BF'!$AB$12+'TE CVA'!$AB$12)*(1-CUSTOS!$M$35)</f>
        <v>81.973594265193938</v>
      </c>
      <c r="AB293" s="4">
        <f>$K$293*$V$293</f>
        <v>0</v>
      </c>
      <c r="AC293" s="4">
        <f>$M$293*$W$293</f>
        <v>9215.3198499999999</v>
      </c>
      <c r="AD293" s="4">
        <f>$O$293*$X$293</f>
        <v>3138.0187999999998</v>
      </c>
      <c r="AE293" s="4">
        <f>$K$293*$Y$293</f>
        <v>0</v>
      </c>
      <c r="AF293" s="4">
        <f ca="1">$M$293*$Z$293</f>
        <v>10192.220916510483</v>
      </c>
      <c r="AG293" s="4">
        <f>$O$293*$AA$293</f>
        <v>2853.0909484000749</v>
      </c>
    </row>
    <row r="294" spans="1:33" ht="11.25" customHeight="1" x14ac:dyDescent="0.25">
      <c r="A294" s="3" t="s">
        <v>55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44774</v>
      </c>
      <c r="J294" s="4">
        <v>0</v>
      </c>
      <c r="K294" s="4">
        <v>0</v>
      </c>
      <c r="L294" s="4">
        <v>0.14000000000000001</v>
      </c>
      <c r="M294" s="4">
        <v>0.14000000000000001</v>
      </c>
      <c r="N294" s="4">
        <v>0.14000000000000001</v>
      </c>
      <c r="O294" s="4">
        <v>0.14000000000000001</v>
      </c>
      <c r="P294" s="4">
        <v>0</v>
      </c>
      <c r="Q294" s="3" t="s">
        <v>26</v>
      </c>
      <c r="R294" s="3">
        <v>0</v>
      </c>
      <c r="S294" s="4">
        <v>0</v>
      </c>
      <c r="T294" s="4">
        <v>39</v>
      </c>
      <c r="U294" s="4">
        <v>85</v>
      </c>
      <c r="V294" s="4">
        <f>IF(ISERROR(VLOOKUP($S$294,'TAR FIN'!$A$1:$O$88,15,0)),0,VLOOKUP($S$294,'TAR FIN'!$A$1:$O$88,15,0))</f>
        <v>0</v>
      </c>
      <c r="W294" s="4">
        <f>IF(ISERROR(VLOOKUP($T$294,'TAR FIN'!$A$1:$O$88,15,0)),0,VLOOKUP($T$294,'TAR FIN'!$A$1:$O$88,15,0))</f>
        <v>264.77</v>
      </c>
      <c r="X294" s="4">
        <f>IF(ISERROR(VLOOKUP($U$294,'TAR FIN'!$A$1:$O$88,15,0)),0,VLOOKUP($U$294,'TAR FIN'!$A$1:$O$88,15,0))</f>
        <v>90.16</v>
      </c>
      <c r="Y294" s="4"/>
      <c r="Z294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294" s="4">
        <f>('TE BE'!$AB$12+'TE BF'!$AB$12+'TE CVA'!$AB$12)*(1-CUSTOS!$M$35)</f>
        <v>81.973594265193938</v>
      </c>
      <c r="AB294" s="4">
        <f>$K$294*$V$294</f>
        <v>0</v>
      </c>
      <c r="AC294" s="4">
        <f>$M$294*$W$294</f>
        <v>37.067799999999998</v>
      </c>
      <c r="AD294" s="4">
        <f>$O$294*$X$294</f>
        <v>12.622400000000001</v>
      </c>
      <c r="AE294" s="4">
        <f>$K$294*$Y$294</f>
        <v>0</v>
      </c>
      <c r="AF294" s="4">
        <f ca="1">$M$294*$Z$294</f>
        <v>40.997297178895785</v>
      </c>
      <c r="AG294" s="4">
        <f>$O$294*$AA$294</f>
        <v>11.476303197127152</v>
      </c>
    </row>
    <row r="295" spans="1:3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0</v>
      </c>
      <c r="K295" s="4">
        <v>0</v>
      </c>
      <c r="L295" s="4">
        <v>37.183</v>
      </c>
      <c r="M295" s="4">
        <v>37.183</v>
      </c>
      <c r="N295" s="4">
        <v>37.183</v>
      </c>
      <c r="O295" s="4">
        <v>37.183</v>
      </c>
      <c r="P295" s="4">
        <v>237</v>
      </c>
      <c r="Q295" s="3" t="s">
        <v>26</v>
      </c>
      <c r="R295" s="3">
        <v>0</v>
      </c>
      <c r="S295" s="4">
        <v>0</v>
      </c>
      <c r="T295" s="4">
        <v>36</v>
      </c>
      <c r="U295" s="4">
        <v>86</v>
      </c>
      <c r="V295" s="4">
        <f>IF(ISERROR(VLOOKUP($S$295,'TAR FIN'!$A$1:$O$88,15,0)),0,VLOOKUP($S$295,'TAR FIN'!$A$1:$O$88,15,0))</f>
        <v>0</v>
      </c>
      <c r="W295" s="4">
        <f>IF(ISERROR(VLOOKUP($T$295,'TAR FIN'!$A$1:$O$88,15,0)),0,VLOOKUP($T$295,'TAR FIN'!$A$1:$O$88,15,0))</f>
        <v>397.15</v>
      </c>
      <c r="X295" s="4">
        <f>IF(ISERROR(VLOOKUP($U$295,'TAR FIN'!$A$1:$O$88,15,0)),0,VLOOKUP($U$295,'TAR FIN'!$A$1:$O$88,15,0))</f>
        <v>135.24</v>
      </c>
      <c r="Y295" s="4"/>
      <c r="Z295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295" s="4">
        <f>('TE BE'!$AB$13+'TE BF'!$AB$13+'TE CVA'!$AB$13)*(1-CUSTOS!$M$36)</f>
        <v>122.96039139779091</v>
      </c>
      <c r="AB295" s="4">
        <f>$K$295*$V$295</f>
        <v>0</v>
      </c>
      <c r="AC295" s="4">
        <f>$M$295*$W$295</f>
        <v>14767.228449999999</v>
      </c>
      <c r="AD295" s="4">
        <f>$O$295*$X$295</f>
        <v>5028.6289200000001</v>
      </c>
      <c r="AE295" s="4">
        <f>$K$295*$Y$295</f>
        <v>0</v>
      </c>
      <c r="AF295" s="4">
        <f ca="1">$M$295*$Z$295</f>
        <v>16332.883939316593</v>
      </c>
      <c r="AG295" s="4">
        <f>$O$295*$AA$295</f>
        <v>4572.0362333440598</v>
      </c>
    </row>
    <row r="296" spans="1:3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31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36.628</v>
      </c>
      <c r="M296" s="4">
        <v>36.628</v>
      </c>
      <c r="N296" s="4">
        <v>36.628</v>
      </c>
      <c r="O296" s="4">
        <v>36.628</v>
      </c>
      <c r="P296" s="4">
        <v>268</v>
      </c>
      <c r="Q296" s="3" t="s">
        <v>26</v>
      </c>
      <c r="R296" s="3">
        <v>0</v>
      </c>
      <c r="S296" s="4">
        <v>0</v>
      </c>
      <c r="T296" s="4">
        <v>36</v>
      </c>
      <c r="U296" s="4">
        <v>86</v>
      </c>
      <c r="V296" s="4">
        <f>IF(ISERROR(VLOOKUP($S$296,'TAR FIN'!$A$1:$O$88,15,0)),0,VLOOKUP($S$296,'TAR FIN'!$A$1:$O$88,15,0))</f>
        <v>0</v>
      </c>
      <c r="W296" s="4">
        <f>IF(ISERROR(VLOOKUP($T$296,'TAR FIN'!$A$1:$O$88,15,0)),0,VLOOKUP($T$296,'TAR FIN'!$A$1:$O$88,15,0))</f>
        <v>397.15</v>
      </c>
      <c r="X296" s="4">
        <f>IF(ISERROR(VLOOKUP($U$296,'TAR FIN'!$A$1:$O$88,15,0)),0,VLOOKUP($U$296,'TAR FIN'!$A$1:$O$88,15,0))</f>
        <v>135.24</v>
      </c>
      <c r="Y296" s="4"/>
      <c r="Z296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296" s="4">
        <f>('TE BE'!$AB$13+'TE BF'!$AB$13+'TE CVA'!$AB$13)*(1-CUSTOS!$M$36)</f>
        <v>122.96039139779091</v>
      </c>
      <c r="AB296" s="4">
        <f>$K$296*$V$296</f>
        <v>0</v>
      </c>
      <c r="AC296" s="4">
        <f>$M$296*$W$296</f>
        <v>14546.8102</v>
      </c>
      <c r="AD296" s="4">
        <f>$O$296*$X$296</f>
        <v>4953.5707200000006</v>
      </c>
      <c r="AE296" s="4">
        <f>$K$296*$Y$296</f>
        <v>0</v>
      </c>
      <c r="AF296" s="4">
        <f ca="1">$M$296*$Z$296</f>
        <v>16089.096440020659</v>
      </c>
      <c r="AG296" s="4">
        <f>$O$296*$AA$296</f>
        <v>4503.7932161182853</v>
      </c>
    </row>
    <row r="297" spans="1:3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31</v>
      </c>
      <c r="F297" s="3" t="s">
        <v>25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0.10199999999999999</v>
      </c>
      <c r="M297" s="4">
        <v>0.10199999999999999</v>
      </c>
      <c r="N297" s="4">
        <v>0.10199999999999999</v>
      </c>
      <c r="O297" s="4">
        <v>0.10199999999999999</v>
      </c>
      <c r="P297" s="4">
        <v>0</v>
      </c>
      <c r="Q297" s="3" t="s">
        <v>26</v>
      </c>
      <c r="R297" s="3">
        <v>0</v>
      </c>
      <c r="S297" s="4">
        <v>0</v>
      </c>
      <c r="T297" s="4">
        <v>36</v>
      </c>
      <c r="U297" s="4">
        <v>86</v>
      </c>
      <c r="V297" s="4">
        <f>IF(ISERROR(VLOOKUP($S$297,'TAR FIN'!$A$1:$O$88,15,0)),0,VLOOKUP($S$297,'TAR FIN'!$A$1:$O$88,15,0))</f>
        <v>0</v>
      </c>
      <c r="W297" s="4">
        <f>IF(ISERROR(VLOOKUP($T$297,'TAR FIN'!$A$1:$O$88,15,0)),0,VLOOKUP($T$297,'TAR FIN'!$A$1:$O$88,15,0))</f>
        <v>397.15</v>
      </c>
      <c r="X297" s="4">
        <f>IF(ISERROR(VLOOKUP($U$297,'TAR FIN'!$A$1:$O$88,15,0)),0,VLOOKUP($U$297,'TAR FIN'!$A$1:$O$88,15,0))</f>
        <v>135.24</v>
      </c>
      <c r="Y297" s="4"/>
      <c r="Z297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297" s="4">
        <f>('TE BE'!$AB$13+'TE BF'!$AB$13+'TE CVA'!$AB$13)*(1-CUSTOS!$M$36)</f>
        <v>122.96039139779091</v>
      </c>
      <c r="AB297" s="4">
        <f>$K$297*$V$297</f>
        <v>0</v>
      </c>
      <c r="AC297" s="4">
        <f>$M$297*$W$297</f>
        <v>40.509299999999996</v>
      </c>
      <c r="AD297" s="4">
        <f>$O$297*$X$297</f>
        <v>13.79448</v>
      </c>
      <c r="AE297" s="4">
        <f>$K$297*$Y$297</f>
        <v>0</v>
      </c>
      <c r="AF297" s="4">
        <f ca="1">$M$297*$Z$297</f>
        <v>44.804189059793245</v>
      </c>
      <c r="AG297" s="4">
        <f>$O$297*$AA$297</f>
        <v>12.541959922574673</v>
      </c>
    </row>
    <row r="298" spans="1:3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31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38.396000000000001</v>
      </c>
      <c r="M298" s="4">
        <v>38.396000000000001</v>
      </c>
      <c r="N298" s="4">
        <v>38.396000000000001</v>
      </c>
      <c r="O298" s="4">
        <v>38.396000000000001</v>
      </c>
      <c r="P298" s="4">
        <v>266</v>
      </c>
      <c r="Q298" s="3" t="s">
        <v>26</v>
      </c>
      <c r="R298" s="3">
        <v>0</v>
      </c>
      <c r="S298" s="4">
        <v>0</v>
      </c>
      <c r="T298" s="4">
        <v>36</v>
      </c>
      <c r="U298" s="4">
        <v>86</v>
      </c>
      <c r="V298" s="4">
        <f>IF(ISERROR(VLOOKUP($S$298,'TAR FIN'!$A$1:$O$88,15,0)),0,VLOOKUP($S$298,'TAR FIN'!$A$1:$O$88,15,0))</f>
        <v>0</v>
      </c>
      <c r="W298" s="4">
        <f>IF(ISERROR(VLOOKUP($T$298,'TAR FIN'!$A$1:$O$88,15,0)),0,VLOOKUP($T$298,'TAR FIN'!$A$1:$O$88,15,0))</f>
        <v>397.15</v>
      </c>
      <c r="X298" s="4">
        <f>IF(ISERROR(VLOOKUP($U$298,'TAR FIN'!$A$1:$O$88,15,0)),0,VLOOKUP($U$298,'TAR FIN'!$A$1:$O$88,15,0))</f>
        <v>135.24</v>
      </c>
      <c r="Y298" s="4"/>
      <c r="Z298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298" s="4">
        <f>('TE BE'!$AB$13+'TE BF'!$AB$13+'TE CVA'!$AB$13)*(1-CUSTOS!$M$36)</f>
        <v>122.96039139779091</v>
      </c>
      <c r="AB298" s="4">
        <f>$K$298*$V$298</f>
        <v>0</v>
      </c>
      <c r="AC298" s="4">
        <f>$M$298*$W$298</f>
        <v>15248.971399999999</v>
      </c>
      <c r="AD298" s="4">
        <f>$O$298*$X$298</f>
        <v>5192.6750400000001</v>
      </c>
      <c r="AE298" s="4">
        <f>$K$298*$Y$298</f>
        <v>0</v>
      </c>
      <c r="AF298" s="4">
        <f ca="1">$M$298*$Z$298</f>
        <v>16865.702383723743</v>
      </c>
      <c r="AG298" s="4">
        <f>$O$298*$AA$298</f>
        <v>4721.1871881095803</v>
      </c>
    </row>
    <row r="299" spans="1:33" ht="11.25" customHeight="1" x14ac:dyDescent="0.25">
      <c r="A299" s="3" t="s">
        <v>27</v>
      </c>
      <c r="B299" s="3" t="s">
        <v>22</v>
      </c>
      <c r="C299" s="3" t="s">
        <v>23</v>
      </c>
      <c r="D299" s="3" t="s">
        <v>24</v>
      </c>
      <c r="E299" s="3" t="s">
        <v>31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-0.12</v>
      </c>
      <c r="M299" s="4">
        <v>-0.12</v>
      </c>
      <c r="N299" s="4">
        <v>-0.12</v>
      </c>
      <c r="O299" s="4">
        <v>-0.12</v>
      </c>
      <c r="P299" s="4">
        <v>0</v>
      </c>
      <c r="Q299" s="3" t="s">
        <v>26</v>
      </c>
      <c r="R299" s="3">
        <v>0</v>
      </c>
      <c r="S299" s="4">
        <v>0</v>
      </c>
      <c r="T299" s="4">
        <v>36</v>
      </c>
      <c r="U299" s="4">
        <v>86</v>
      </c>
      <c r="V299" s="4">
        <f>IF(ISERROR(VLOOKUP($S$299,'TAR FIN'!$A$1:$O$88,15,0)),0,VLOOKUP($S$299,'TAR FIN'!$A$1:$O$88,15,0))</f>
        <v>0</v>
      </c>
      <c r="W299" s="4">
        <f>IF(ISERROR(VLOOKUP($T$299,'TAR FIN'!$A$1:$O$88,15,0)),0,VLOOKUP($T$299,'TAR FIN'!$A$1:$O$88,15,0))</f>
        <v>397.15</v>
      </c>
      <c r="X299" s="4">
        <f>IF(ISERROR(VLOOKUP($U$299,'TAR FIN'!$A$1:$O$88,15,0)),0,VLOOKUP($U$299,'TAR FIN'!$A$1:$O$88,15,0))</f>
        <v>135.24</v>
      </c>
      <c r="Y299" s="4"/>
      <c r="Z299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299" s="4">
        <f>('TE BE'!$AB$13+'TE BF'!$AB$13+'TE CVA'!$AB$13)*(1-CUSTOS!$M$36)</f>
        <v>122.96039139779091</v>
      </c>
      <c r="AB299" s="4">
        <f>$K$299*$V$299</f>
        <v>0</v>
      </c>
      <c r="AC299" s="4">
        <f>$M$299*$W$299</f>
        <v>-47.657999999999994</v>
      </c>
      <c r="AD299" s="4">
        <f>$O$299*$X$299</f>
        <v>-16.2288</v>
      </c>
      <c r="AE299" s="4">
        <f>$K$299*$Y$299</f>
        <v>0</v>
      </c>
      <c r="AF299" s="4">
        <f ca="1">$M$299*$Z$299</f>
        <v>-52.710810658580293</v>
      </c>
      <c r="AG299" s="4">
        <f>$O$299*$AA$299</f>
        <v>-14.755246967734909</v>
      </c>
    </row>
    <row r="300" spans="1:3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31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40.651000000000003</v>
      </c>
      <c r="M300" s="4">
        <v>40.651000000000003</v>
      </c>
      <c r="N300" s="4">
        <v>40.651000000000003</v>
      </c>
      <c r="O300" s="4">
        <v>40.651000000000003</v>
      </c>
      <c r="P300" s="4">
        <v>254</v>
      </c>
      <c r="Q300" s="3" t="s">
        <v>26</v>
      </c>
      <c r="R300" s="3">
        <v>0</v>
      </c>
      <c r="S300" s="4">
        <v>0</v>
      </c>
      <c r="T300" s="4">
        <v>36</v>
      </c>
      <c r="U300" s="4">
        <v>86</v>
      </c>
      <c r="V300" s="4">
        <f>IF(ISERROR(VLOOKUP($S$300,'TAR FIN'!$A$1:$O$88,15,0)),0,VLOOKUP($S$300,'TAR FIN'!$A$1:$O$88,15,0))</f>
        <v>0</v>
      </c>
      <c r="W300" s="4">
        <f>IF(ISERROR(VLOOKUP($T$300,'TAR FIN'!$A$1:$O$88,15,0)),0,VLOOKUP($T$300,'TAR FIN'!$A$1:$O$88,15,0))</f>
        <v>397.15</v>
      </c>
      <c r="X300" s="4">
        <f>IF(ISERROR(VLOOKUP($U$300,'TAR FIN'!$A$1:$O$88,15,0)),0,VLOOKUP($U$300,'TAR FIN'!$A$1:$O$88,15,0))</f>
        <v>135.24</v>
      </c>
      <c r="Y300" s="4"/>
      <c r="Z300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0" s="4">
        <f>('TE BE'!$AB$13+'TE BF'!$AB$13+'TE CVA'!$AB$13)*(1-CUSTOS!$M$36)</f>
        <v>122.96039139779091</v>
      </c>
      <c r="AB300" s="4">
        <f>$K$300*$V$300</f>
        <v>0</v>
      </c>
      <c r="AC300" s="4">
        <f>$M$300*$W$300</f>
        <v>16144.54465</v>
      </c>
      <c r="AD300" s="4">
        <f>$O$300*$X$300</f>
        <v>5497.6412400000008</v>
      </c>
      <c r="AE300" s="4">
        <f>$K$300*$Y$300</f>
        <v>0</v>
      </c>
      <c r="AF300" s="4">
        <f ca="1">$M$300*$Z$300</f>
        <v>17856.226367349565</v>
      </c>
      <c r="AG300" s="4">
        <f>$O$300*$AA$300</f>
        <v>4998.462870711599</v>
      </c>
    </row>
    <row r="301" spans="1:33" ht="11.25" customHeight="1" x14ac:dyDescent="0.25">
      <c r="A301" s="3" t="s">
        <v>27</v>
      </c>
      <c r="B301" s="3" t="s">
        <v>22</v>
      </c>
      <c r="C301" s="3" t="s">
        <v>23</v>
      </c>
      <c r="D301" s="3" t="s">
        <v>24</v>
      </c>
      <c r="E301" s="3" t="s">
        <v>31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-0.12</v>
      </c>
      <c r="M301" s="4">
        <v>-0.12</v>
      </c>
      <c r="N301" s="4">
        <v>-0.12</v>
      </c>
      <c r="O301" s="4">
        <v>-0.12</v>
      </c>
      <c r="P301" s="4">
        <v>0</v>
      </c>
      <c r="Q301" s="3" t="s">
        <v>26</v>
      </c>
      <c r="R301" s="3">
        <v>0</v>
      </c>
      <c r="S301" s="4">
        <v>0</v>
      </c>
      <c r="T301" s="4">
        <v>36</v>
      </c>
      <c r="U301" s="4">
        <v>86</v>
      </c>
      <c r="V301" s="4">
        <f>IF(ISERROR(VLOOKUP($S$301,'TAR FIN'!$A$1:$O$88,15,0)),0,VLOOKUP($S$301,'TAR FIN'!$A$1:$O$88,15,0))</f>
        <v>0</v>
      </c>
      <c r="W301" s="4">
        <f>IF(ISERROR(VLOOKUP($T$301,'TAR FIN'!$A$1:$O$88,15,0)),0,VLOOKUP($T$301,'TAR FIN'!$A$1:$O$88,15,0))</f>
        <v>397.15</v>
      </c>
      <c r="X301" s="4">
        <f>IF(ISERROR(VLOOKUP($U$301,'TAR FIN'!$A$1:$O$88,15,0)),0,VLOOKUP($U$301,'TAR FIN'!$A$1:$O$88,15,0))</f>
        <v>135.24</v>
      </c>
      <c r="Y301" s="4"/>
      <c r="Z301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1" s="4">
        <f>('TE BE'!$AB$13+'TE BF'!$AB$13+'TE CVA'!$AB$13)*(1-CUSTOS!$M$36)</f>
        <v>122.96039139779091</v>
      </c>
      <c r="AB301" s="4">
        <f>$K$301*$V$301</f>
        <v>0</v>
      </c>
      <c r="AC301" s="4">
        <f>$M$301*$W$301</f>
        <v>-47.657999999999994</v>
      </c>
      <c r="AD301" s="4">
        <f>$O$301*$X$301</f>
        <v>-16.2288</v>
      </c>
      <c r="AE301" s="4">
        <f>$K$301*$Y$301</f>
        <v>0</v>
      </c>
      <c r="AF301" s="4">
        <f ca="1">$M$301*$Z$301</f>
        <v>-52.710810658580293</v>
      </c>
      <c r="AG301" s="4">
        <f>$O$301*$AA$301</f>
        <v>-14.755246967734909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31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46.091999999999999</v>
      </c>
      <c r="M302" s="4">
        <v>46.091999999999999</v>
      </c>
      <c r="N302" s="4">
        <v>46.091999999999999</v>
      </c>
      <c r="O302" s="4">
        <v>46.091999999999999</v>
      </c>
      <c r="P302" s="4">
        <v>201</v>
      </c>
      <c r="Q302" s="3" t="s">
        <v>26</v>
      </c>
      <c r="R302" s="3">
        <v>0</v>
      </c>
      <c r="S302" s="4">
        <v>0</v>
      </c>
      <c r="T302" s="4">
        <v>36</v>
      </c>
      <c r="U302" s="4">
        <v>86</v>
      </c>
      <c r="V302" s="4">
        <f>IF(ISERROR(VLOOKUP($S$302,'TAR FIN'!$A$1:$O$88,15,0)),0,VLOOKUP($S$302,'TAR FIN'!$A$1:$O$88,15,0))</f>
        <v>0</v>
      </c>
      <c r="W302" s="4">
        <f>IF(ISERROR(VLOOKUP($T$302,'TAR FIN'!$A$1:$O$88,15,0)),0,VLOOKUP($T$302,'TAR FIN'!$A$1:$O$88,15,0))</f>
        <v>397.15</v>
      </c>
      <c r="X302" s="4">
        <f>IF(ISERROR(VLOOKUP($U$302,'TAR FIN'!$A$1:$O$88,15,0)),0,VLOOKUP($U$302,'TAR FIN'!$A$1:$O$88,15,0))</f>
        <v>135.24</v>
      </c>
      <c r="Y302" s="4"/>
      <c r="Z302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2" s="4">
        <f>('TE BE'!$AB$13+'TE BF'!$AB$13+'TE CVA'!$AB$13)*(1-CUSTOS!$M$36)</f>
        <v>122.96039139779091</v>
      </c>
      <c r="AB302" s="4">
        <f>$K$302*$V$302</f>
        <v>0</v>
      </c>
      <c r="AC302" s="4">
        <f>$M$302*$W$302</f>
        <v>18305.4378</v>
      </c>
      <c r="AD302" s="4">
        <f>$O$302*$X$302</f>
        <v>6233.4820800000007</v>
      </c>
      <c r="AE302" s="4">
        <f>$K$302*$Y$302</f>
        <v>0</v>
      </c>
      <c r="AF302" s="4">
        <f ca="1">$M$302*$Z$302</f>
        <v>20246.222373960689</v>
      </c>
      <c r="AG302" s="4">
        <f>$O$302*$AA$302</f>
        <v>5667.4903603069788</v>
      </c>
    </row>
    <row r="303" spans="1:3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31</v>
      </c>
      <c r="F303" s="3" t="s">
        <v>25</v>
      </c>
      <c r="G303" s="3" t="s">
        <v>25</v>
      </c>
      <c r="H303" s="3" t="s">
        <v>25</v>
      </c>
      <c r="I303" s="6">
        <v>44593</v>
      </c>
      <c r="J303" s="4">
        <v>0</v>
      </c>
      <c r="K303" s="4">
        <v>0</v>
      </c>
      <c r="L303" s="4">
        <v>45.088000000000001</v>
      </c>
      <c r="M303" s="4">
        <v>45.088000000000001</v>
      </c>
      <c r="N303" s="4">
        <v>45.088000000000001</v>
      </c>
      <c r="O303" s="4">
        <v>45.088000000000001</v>
      </c>
      <c r="P303" s="4">
        <v>218</v>
      </c>
      <c r="Q303" s="3" t="s">
        <v>26</v>
      </c>
      <c r="R303" s="3">
        <v>0</v>
      </c>
      <c r="S303" s="4">
        <v>0</v>
      </c>
      <c r="T303" s="4">
        <v>36</v>
      </c>
      <c r="U303" s="4">
        <v>86</v>
      </c>
      <c r="V303" s="4">
        <f>IF(ISERROR(VLOOKUP($S$303,'TAR FIN'!$A$1:$O$88,15,0)),0,VLOOKUP($S$303,'TAR FIN'!$A$1:$O$88,15,0))</f>
        <v>0</v>
      </c>
      <c r="W303" s="4">
        <f>IF(ISERROR(VLOOKUP($T$303,'TAR FIN'!$A$1:$O$88,15,0)),0,VLOOKUP($T$303,'TAR FIN'!$A$1:$O$88,15,0))</f>
        <v>397.15</v>
      </c>
      <c r="X303" s="4">
        <f>IF(ISERROR(VLOOKUP($U$303,'TAR FIN'!$A$1:$O$88,15,0)),0,VLOOKUP($U$303,'TAR FIN'!$A$1:$O$88,15,0))</f>
        <v>135.24</v>
      </c>
      <c r="Y303" s="4"/>
      <c r="Z303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3" s="4">
        <f>('TE BE'!$AB$13+'TE BF'!$AB$13+'TE CVA'!$AB$13)*(1-CUSTOS!$M$36)</f>
        <v>122.96039139779091</v>
      </c>
      <c r="AB303" s="4">
        <f>$K$303*$V$303</f>
        <v>0</v>
      </c>
      <c r="AC303" s="4">
        <f>$M$303*$W$303</f>
        <v>17906.699199999999</v>
      </c>
      <c r="AD303" s="4">
        <f>$O$303*$X$303</f>
        <v>6097.7011200000006</v>
      </c>
      <c r="AE303" s="4">
        <f>$K$303*$Y$303</f>
        <v>0</v>
      </c>
      <c r="AF303" s="4">
        <f ca="1">$M$303*$Z$303</f>
        <v>19805.20859145057</v>
      </c>
      <c r="AG303" s="4">
        <f>$O$303*$AA$303</f>
        <v>5544.0381273435969</v>
      </c>
    </row>
    <row r="304" spans="1:3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31</v>
      </c>
      <c r="F304" s="3" t="s">
        <v>25</v>
      </c>
      <c r="G304" s="3" t="s">
        <v>25</v>
      </c>
      <c r="H304" s="3" t="s">
        <v>25</v>
      </c>
      <c r="I304" s="6">
        <v>44621</v>
      </c>
      <c r="J304" s="4">
        <v>0</v>
      </c>
      <c r="K304" s="4">
        <v>0</v>
      </c>
      <c r="L304" s="4">
        <v>44.905999999999999</v>
      </c>
      <c r="M304" s="4">
        <v>44.905999999999999</v>
      </c>
      <c r="N304" s="4">
        <v>44.905999999999999</v>
      </c>
      <c r="O304" s="4">
        <v>44.905999999999999</v>
      </c>
      <c r="P304" s="4">
        <v>249</v>
      </c>
      <c r="Q304" s="3" t="s">
        <v>26</v>
      </c>
      <c r="R304" s="3">
        <v>0</v>
      </c>
      <c r="S304" s="4">
        <v>0</v>
      </c>
      <c r="T304" s="4">
        <v>36</v>
      </c>
      <c r="U304" s="4">
        <v>86</v>
      </c>
      <c r="V304" s="4">
        <f>IF(ISERROR(VLOOKUP($S$304,'TAR FIN'!$A$1:$O$88,15,0)),0,VLOOKUP($S$304,'TAR FIN'!$A$1:$O$88,15,0))</f>
        <v>0</v>
      </c>
      <c r="W304" s="4">
        <f>IF(ISERROR(VLOOKUP($T$304,'TAR FIN'!$A$1:$O$88,15,0)),0,VLOOKUP($T$304,'TAR FIN'!$A$1:$O$88,15,0))</f>
        <v>397.15</v>
      </c>
      <c r="X304" s="4">
        <f>IF(ISERROR(VLOOKUP($U$304,'TAR FIN'!$A$1:$O$88,15,0)),0,VLOOKUP($U$304,'TAR FIN'!$A$1:$O$88,15,0))</f>
        <v>135.24</v>
      </c>
      <c r="Y304" s="4"/>
      <c r="Z304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4" s="4">
        <f>('TE BE'!$AB$13+'TE BF'!$AB$13+'TE CVA'!$AB$13)*(1-CUSTOS!$M$36)</f>
        <v>122.96039139779091</v>
      </c>
      <c r="AB304" s="4">
        <f>$K$304*$V$304</f>
        <v>0</v>
      </c>
      <c r="AC304" s="4">
        <f>$M$304*$W$304</f>
        <v>17834.417899999997</v>
      </c>
      <c r="AD304" s="4">
        <f>$O$304*$X$304</f>
        <v>6073.0874400000002</v>
      </c>
      <c r="AE304" s="4">
        <f>$K$304*$Y$304</f>
        <v>0</v>
      </c>
      <c r="AF304" s="4">
        <f ca="1">$M$304*$Z$304</f>
        <v>19725.26386195172</v>
      </c>
      <c r="AG304" s="4">
        <f>$O$304*$AA$304</f>
        <v>5521.6593361091991</v>
      </c>
    </row>
    <row r="305" spans="1:33" ht="11.25" customHeight="1" x14ac:dyDescent="0.25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31</v>
      </c>
      <c r="F305" s="3" t="s">
        <v>25</v>
      </c>
      <c r="G305" s="3" t="s">
        <v>25</v>
      </c>
      <c r="H305" s="3" t="s">
        <v>25</v>
      </c>
      <c r="I305" s="6">
        <v>44621</v>
      </c>
      <c r="J305" s="4">
        <v>0</v>
      </c>
      <c r="K305" s="4">
        <v>0</v>
      </c>
      <c r="L305" s="4">
        <v>0.03</v>
      </c>
      <c r="M305" s="4">
        <v>0.03</v>
      </c>
      <c r="N305" s="4">
        <v>0.03</v>
      </c>
      <c r="O305" s="4">
        <v>0.03</v>
      </c>
      <c r="P305" s="4">
        <v>0</v>
      </c>
      <c r="Q305" s="3" t="s">
        <v>26</v>
      </c>
      <c r="R305" s="3">
        <v>0</v>
      </c>
      <c r="S305" s="4">
        <v>0</v>
      </c>
      <c r="T305" s="4">
        <v>36</v>
      </c>
      <c r="U305" s="4">
        <v>86</v>
      </c>
      <c r="V305" s="4">
        <f>IF(ISERROR(VLOOKUP($S$305,'TAR FIN'!$A$1:$O$88,15,0)),0,VLOOKUP($S$305,'TAR FIN'!$A$1:$O$88,15,0))</f>
        <v>0</v>
      </c>
      <c r="W305" s="4">
        <f>IF(ISERROR(VLOOKUP($T$305,'TAR FIN'!$A$1:$O$88,15,0)),0,VLOOKUP($T$305,'TAR FIN'!$A$1:$O$88,15,0))</f>
        <v>397.15</v>
      </c>
      <c r="X305" s="4">
        <f>IF(ISERROR(VLOOKUP($U$305,'TAR FIN'!$A$1:$O$88,15,0)),0,VLOOKUP($U$305,'TAR FIN'!$A$1:$O$88,15,0))</f>
        <v>135.24</v>
      </c>
      <c r="Y305" s="4"/>
      <c r="Z305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5" s="4">
        <f>('TE BE'!$AB$13+'TE BF'!$AB$13+'TE CVA'!$AB$13)*(1-CUSTOS!$M$36)</f>
        <v>122.96039139779091</v>
      </c>
      <c r="AB305" s="4">
        <f>$K$305*$V$305</f>
        <v>0</v>
      </c>
      <c r="AC305" s="4">
        <f>$M$305*$W$305</f>
        <v>11.914499999999999</v>
      </c>
      <c r="AD305" s="4">
        <f>$O$305*$X$305</f>
        <v>4.0571999999999999</v>
      </c>
      <c r="AE305" s="4">
        <f>$K$305*$Y$305</f>
        <v>0</v>
      </c>
      <c r="AF305" s="4">
        <f ca="1">$M$305*$Z$305</f>
        <v>13.177702664645073</v>
      </c>
      <c r="AG305" s="4">
        <f>$O$305*$AA$305</f>
        <v>3.6888117419337272</v>
      </c>
    </row>
    <row r="306" spans="1:3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31</v>
      </c>
      <c r="F306" s="3" t="s">
        <v>25</v>
      </c>
      <c r="G306" s="3" t="s">
        <v>25</v>
      </c>
      <c r="H306" s="3" t="s">
        <v>25</v>
      </c>
      <c r="I306" s="6">
        <v>44652</v>
      </c>
      <c r="J306" s="4">
        <v>0</v>
      </c>
      <c r="K306" s="4">
        <v>0</v>
      </c>
      <c r="L306" s="4">
        <v>44.447000000000003</v>
      </c>
      <c r="M306" s="4">
        <v>44.447000000000003</v>
      </c>
      <c r="N306" s="4">
        <v>44.447000000000003</v>
      </c>
      <c r="O306" s="4">
        <v>44.447000000000003</v>
      </c>
      <c r="P306" s="4">
        <v>273</v>
      </c>
      <c r="Q306" s="3" t="s">
        <v>26</v>
      </c>
      <c r="R306" s="3">
        <v>0</v>
      </c>
      <c r="S306" s="4">
        <v>0</v>
      </c>
      <c r="T306" s="4">
        <v>36</v>
      </c>
      <c r="U306" s="4">
        <v>86</v>
      </c>
      <c r="V306" s="4">
        <f>IF(ISERROR(VLOOKUP($S$306,'TAR FIN'!$A$1:$O$88,15,0)),0,VLOOKUP($S$306,'TAR FIN'!$A$1:$O$88,15,0))</f>
        <v>0</v>
      </c>
      <c r="W306" s="4">
        <f>IF(ISERROR(VLOOKUP($T$306,'TAR FIN'!$A$1:$O$88,15,0)),0,VLOOKUP($T$306,'TAR FIN'!$A$1:$O$88,15,0))</f>
        <v>397.15</v>
      </c>
      <c r="X306" s="4">
        <f>IF(ISERROR(VLOOKUP($U$306,'TAR FIN'!$A$1:$O$88,15,0)),0,VLOOKUP($U$306,'TAR FIN'!$A$1:$O$88,15,0))</f>
        <v>135.24</v>
      </c>
      <c r="Y306" s="4"/>
      <c r="Z306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6" s="4">
        <f>('TE BE'!$AB$13+'TE BF'!$AB$13+'TE CVA'!$AB$13)*(1-CUSTOS!$M$36)</f>
        <v>122.96039139779091</v>
      </c>
      <c r="AB306" s="4">
        <f>$K$306*$V$306</f>
        <v>0</v>
      </c>
      <c r="AC306" s="4">
        <f>$M$306*$W$306</f>
        <v>17652.126049999999</v>
      </c>
      <c r="AD306" s="4">
        <f>$O$306*$X$306</f>
        <v>6011.0122800000008</v>
      </c>
      <c r="AE306" s="4">
        <f>$K$306*$Y$306</f>
        <v>0</v>
      </c>
      <c r="AF306" s="4">
        <f ca="1">$M$306*$Z$306</f>
        <v>19523.645011182653</v>
      </c>
      <c r="AG306" s="4">
        <f>$O$306*$AA$306</f>
        <v>5465.2205164576135</v>
      </c>
    </row>
    <row r="307" spans="1:3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31</v>
      </c>
      <c r="F307" s="3" t="s">
        <v>25</v>
      </c>
      <c r="G307" s="3" t="s">
        <v>25</v>
      </c>
      <c r="H307" s="3" t="s">
        <v>25</v>
      </c>
      <c r="I307" s="6">
        <v>44682</v>
      </c>
      <c r="J307" s="4">
        <v>0</v>
      </c>
      <c r="K307" s="4">
        <v>0</v>
      </c>
      <c r="L307" s="4">
        <v>40.914999999999999</v>
      </c>
      <c r="M307" s="4">
        <v>40.914999999999999</v>
      </c>
      <c r="N307" s="4">
        <v>40.914999999999999</v>
      </c>
      <c r="O307" s="4">
        <v>40.914999999999999</v>
      </c>
      <c r="P307" s="4">
        <v>311</v>
      </c>
      <c r="Q307" s="3" t="s">
        <v>26</v>
      </c>
      <c r="R307" s="3">
        <v>0</v>
      </c>
      <c r="S307" s="4">
        <v>0</v>
      </c>
      <c r="T307" s="4">
        <v>36</v>
      </c>
      <c r="U307" s="4">
        <v>86</v>
      </c>
      <c r="V307" s="4">
        <f>IF(ISERROR(VLOOKUP($S$307,'TAR FIN'!$A$1:$O$88,15,0)),0,VLOOKUP($S$307,'TAR FIN'!$A$1:$O$88,15,0))</f>
        <v>0</v>
      </c>
      <c r="W307" s="4">
        <f>IF(ISERROR(VLOOKUP($T$307,'TAR FIN'!$A$1:$O$88,15,0)),0,VLOOKUP($T$307,'TAR FIN'!$A$1:$O$88,15,0))</f>
        <v>397.15</v>
      </c>
      <c r="X307" s="4">
        <f>IF(ISERROR(VLOOKUP($U$307,'TAR FIN'!$A$1:$O$88,15,0)),0,VLOOKUP($U$307,'TAR FIN'!$A$1:$O$88,15,0))</f>
        <v>135.24</v>
      </c>
      <c r="Y307" s="4"/>
      <c r="Z307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7" s="4">
        <f>('TE BE'!$AB$13+'TE BF'!$AB$13+'TE CVA'!$AB$13)*(1-CUSTOS!$M$36)</f>
        <v>122.96039139779091</v>
      </c>
      <c r="AB307" s="4">
        <f>$K$307*$V$307</f>
        <v>0</v>
      </c>
      <c r="AC307" s="4">
        <f>$M$307*$W$307</f>
        <v>16249.392249999999</v>
      </c>
      <c r="AD307" s="4">
        <f>$O$307*$X$307</f>
        <v>5533.3446000000004</v>
      </c>
      <c r="AE307" s="4">
        <f>$K$307*$Y$307</f>
        <v>0</v>
      </c>
      <c r="AF307" s="4">
        <f ca="1">$M$307*$Z$307</f>
        <v>17972.19015079844</v>
      </c>
      <c r="AG307" s="4">
        <f>$O$307*$AA$307</f>
        <v>5030.9244140406154</v>
      </c>
    </row>
    <row r="308" spans="1:3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31</v>
      </c>
      <c r="F308" s="3" t="s">
        <v>25</v>
      </c>
      <c r="G308" s="3" t="s">
        <v>25</v>
      </c>
      <c r="H308" s="3" t="s">
        <v>25</v>
      </c>
      <c r="I308" s="6">
        <v>44713</v>
      </c>
      <c r="J308" s="4">
        <v>0</v>
      </c>
      <c r="K308" s="4">
        <v>0</v>
      </c>
      <c r="L308" s="4">
        <v>37.840000000000003</v>
      </c>
      <c r="M308" s="4">
        <v>37.840000000000003</v>
      </c>
      <c r="N308" s="4">
        <v>37.840000000000003</v>
      </c>
      <c r="O308" s="4">
        <v>37.840000000000003</v>
      </c>
      <c r="P308" s="4">
        <v>242</v>
      </c>
      <c r="Q308" s="3" t="s">
        <v>26</v>
      </c>
      <c r="R308" s="3">
        <v>0</v>
      </c>
      <c r="S308" s="4">
        <v>0</v>
      </c>
      <c r="T308" s="4">
        <v>36</v>
      </c>
      <c r="U308" s="4">
        <v>86</v>
      </c>
      <c r="V308" s="4">
        <f>IF(ISERROR(VLOOKUP($S$308,'TAR FIN'!$A$1:$O$88,15,0)),0,VLOOKUP($S$308,'TAR FIN'!$A$1:$O$88,15,0))</f>
        <v>0</v>
      </c>
      <c r="W308" s="4">
        <f>IF(ISERROR(VLOOKUP($T$308,'TAR FIN'!$A$1:$O$88,15,0)),0,VLOOKUP($T$308,'TAR FIN'!$A$1:$O$88,15,0))</f>
        <v>397.15</v>
      </c>
      <c r="X308" s="4">
        <f>IF(ISERROR(VLOOKUP($U$308,'TAR FIN'!$A$1:$O$88,15,0)),0,VLOOKUP($U$308,'TAR FIN'!$A$1:$O$88,15,0))</f>
        <v>135.24</v>
      </c>
      <c r="Y308" s="4"/>
      <c r="Z308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8" s="4">
        <f>('TE BE'!$AB$13+'TE BF'!$AB$13+'TE CVA'!$AB$13)*(1-CUSTOS!$M$36)</f>
        <v>122.96039139779091</v>
      </c>
      <c r="AB308" s="4">
        <f>$K$308*$V$308</f>
        <v>0</v>
      </c>
      <c r="AC308" s="4">
        <f>$M$308*$W$308</f>
        <v>15028.156000000001</v>
      </c>
      <c r="AD308" s="4">
        <f>$O$308*$X$308</f>
        <v>5117.481600000001</v>
      </c>
      <c r="AE308" s="4">
        <f>$K$308*$Y$308</f>
        <v>0</v>
      </c>
      <c r="AF308" s="4">
        <f ca="1">$M$308*$Z$308</f>
        <v>16621.47562767232</v>
      </c>
      <c r="AG308" s="4">
        <f>$O$308*$AA$308</f>
        <v>4652.8212104924087</v>
      </c>
    </row>
    <row r="309" spans="1:33" ht="11.25" customHeight="1" x14ac:dyDescent="0.25">
      <c r="A309" s="3" t="s">
        <v>27</v>
      </c>
      <c r="B309" s="3" t="s">
        <v>22</v>
      </c>
      <c r="C309" s="3" t="s">
        <v>23</v>
      </c>
      <c r="D309" s="3" t="s">
        <v>24</v>
      </c>
      <c r="E309" s="3" t="s">
        <v>31</v>
      </c>
      <c r="F309" s="3" t="s">
        <v>25</v>
      </c>
      <c r="G309" s="3" t="s">
        <v>25</v>
      </c>
      <c r="H309" s="3" t="s">
        <v>25</v>
      </c>
      <c r="I309" s="6">
        <v>44713</v>
      </c>
      <c r="J309" s="4">
        <v>0</v>
      </c>
      <c r="K309" s="4">
        <v>0</v>
      </c>
      <c r="L309" s="4">
        <v>-1.6E-2</v>
      </c>
      <c r="M309" s="4">
        <v>-1.6E-2</v>
      </c>
      <c r="N309" s="4">
        <v>-1.6E-2</v>
      </c>
      <c r="O309" s="4">
        <v>-1.6E-2</v>
      </c>
      <c r="P309" s="4">
        <v>0</v>
      </c>
      <c r="Q309" s="3" t="s">
        <v>26</v>
      </c>
      <c r="R309" s="3">
        <v>0</v>
      </c>
      <c r="S309" s="4">
        <v>0</v>
      </c>
      <c r="T309" s="4">
        <v>36</v>
      </c>
      <c r="U309" s="4">
        <v>86</v>
      </c>
      <c r="V309" s="4">
        <f>IF(ISERROR(VLOOKUP($S$309,'TAR FIN'!$A$1:$O$88,15,0)),0,VLOOKUP($S$309,'TAR FIN'!$A$1:$O$88,15,0))</f>
        <v>0</v>
      </c>
      <c r="W309" s="4">
        <f>IF(ISERROR(VLOOKUP($T$309,'TAR FIN'!$A$1:$O$88,15,0)),0,VLOOKUP($T$309,'TAR FIN'!$A$1:$O$88,15,0))</f>
        <v>397.15</v>
      </c>
      <c r="X309" s="4">
        <f>IF(ISERROR(VLOOKUP($U$309,'TAR FIN'!$A$1:$O$88,15,0)),0,VLOOKUP($U$309,'TAR FIN'!$A$1:$O$88,15,0))</f>
        <v>135.24</v>
      </c>
      <c r="Y309" s="4"/>
      <c r="Z309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09" s="4">
        <f>('TE BE'!$AB$13+'TE BF'!$AB$13+'TE CVA'!$AB$13)*(1-CUSTOS!$M$36)</f>
        <v>122.96039139779091</v>
      </c>
      <c r="AB309" s="4">
        <f>$K$309*$V$309</f>
        <v>0</v>
      </c>
      <c r="AC309" s="4">
        <f>$M$309*$W$309</f>
        <v>-6.3544</v>
      </c>
      <c r="AD309" s="4">
        <f>$O$309*$X$309</f>
        <v>-2.16384</v>
      </c>
      <c r="AE309" s="4">
        <f>$K$309*$Y$309</f>
        <v>0</v>
      </c>
      <c r="AF309" s="4">
        <f ca="1">$M$309*$Z$309</f>
        <v>-7.0281080878107058</v>
      </c>
      <c r="AG309" s="4">
        <f>$O$309*$AA$309</f>
        <v>-1.9673662623646546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31</v>
      </c>
      <c r="F310" s="3" t="s">
        <v>25</v>
      </c>
      <c r="G310" s="3" t="s">
        <v>25</v>
      </c>
      <c r="H310" s="3" t="s">
        <v>25</v>
      </c>
      <c r="I310" s="6">
        <v>44743</v>
      </c>
      <c r="J310" s="4">
        <v>0</v>
      </c>
      <c r="K310" s="4">
        <v>0</v>
      </c>
      <c r="L310" s="4">
        <v>37.328000000000003</v>
      </c>
      <c r="M310" s="4">
        <v>37.328000000000003</v>
      </c>
      <c r="N310" s="4">
        <v>37.328000000000003</v>
      </c>
      <c r="O310" s="4">
        <v>37.328000000000003</v>
      </c>
      <c r="P310" s="4">
        <v>262</v>
      </c>
      <c r="Q310" s="3" t="s">
        <v>26</v>
      </c>
      <c r="R310" s="3">
        <v>0</v>
      </c>
      <c r="S310" s="4">
        <v>0</v>
      </c>
      <c r="T310" s="4">
        <v>36</v>
      </c>
      <c r="U310" s="4">
        <v>86</v>
      </c>
      <c r="V310" s="4">
        <f>IF(ISERROR(VLOOKUP($S$310,'TAR FIN'!$A$1:$O$88,15,0)),0,VLOOKUP($S$310,'TAR FIN'!$A$1:$O$88,15,0))</f>
        <v>0</v>
      </c>
      <c r="W310" s="4">
        <f>IF(ISERROR(VLOOKUP($T$310,'TAR FIN'!$A$1:$O$88,15,0)),0,VLOOKUP($T$310,'TAR FIN'!$A$1:$O$88,15,0))</f>
        <v>397.15</v>
      </c>
      <c r="X310" s="4">
        <f>IF(ISERROR(VLOOKUP($U$310,'TAR FIN'!$A$1:$O$88,15,0)),0,VLOOKUP($U$310,'TAR FIN'!$A$1:$O$88,15,0))</f>
        <v>135.24</v>
      </c>
      <c r="Y310" s="4"/>
      <c r="Z310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10" s="4">
        <f>('TE BE'!$AB$13+'TE BF'!$AB$13+'TE CVA'!$AB$13)*(1-CUSTOS!$M$36)</f>
        <v>122.96039139779091</v>
      </c>
      <c r="AB310" s="4">
        <f>$K$310*$V$310</f>
        <v>0</v>
      </c>
      <c r="AC310" s="4">
        <f>$M$310*$W$310</f>
        <v>14824.815200000001</v>
      </c>
      <c r="AD310" s="4">
        <f>$O$310*$X$310</f>
        <v>5048.2387200000003</v>
      </c>
      <c r="AE310" s="4">
        <f>$K$310*$Y$310</f>
        <v>0</v>
      </c>
      <c r="AF310" s="4">
        <f ca="1">$M$310*$Z$310</f>
        <v>16396.576168862379</v>
      </c>
      <c r="AG310" s="4">
        <f>$O$310*$AA$310</f>
        <v>4589.8654900967394</v>
      </c>
    </row>
    <row r="311" spans="1:33" ht="11.25" customHeight="1" x14ac:dyDescent="0.25">
      <c r="A311" s="3" t="s">
        <v>27</v>
      </c>
      <c r="B311" s="3" t="s">
        <v>22</v>
      </c>
      <c r="C311" s="3" t="s">
        <v>23</v>
      </c>
      <c r="D311" s="3" t="s">
        <v>24</v>
      </c>
      <c r="E311" s="3" t="s">
        <v>31</v>
      </c>
      <c r="F311" s="3" t="s">
        <v>25</v>
      </c>
      <c r="G311" s="3" t="s">
        <v>25</v>
      </c>
      <c r="H311" s="3" t="s">
        <v>25</v>
      </c>
      <c r="I311" s="6">
        <v>44743</v>
      </c>
      <c r="J311" s="4">
        <v>0</v>
      </c>
      <c r="K311" s="4">
        <v>0</v>
      </c>
      <c r="L311" s="4">
        <v>0.13200000000000001</v>
      </c>
      <c r="M311" s="4">
        <v>0.13200000000000001</v>
      </c>
      <c r="N311" s="4">
        <v>0.13200000000000001</v>
      </c>
      <c r="O311" s="4">
        <v>0.13200000000000001</v>
      </c>
      <c r="P311" s="4">
        <v>0</v>
      </c>
      <c r="Q311" s="3" t="s">
        <v>26</v>
      </c>
      <c r="R311" s="3">
        <v>0</v>
      </c>
      <c r="S311" s="4">
        <v>0</v>
      </c>
      <c r="T311" s="4">
        <v>36</v>
      </c>
      <c r="U311" s="4">
        <v>86</v>
      </c>
      <c r="V311" s="4">
        <f>IF(ISERROR(VLOOKUP($S$311,'TAR FIN'!$A$1:$O$88,15,0)),0,VLOOKUP($S$311,'TAR FIN'!$A$1:$O$88,15,0))</f>
        <v>0</v>
      </c>
      <c r="W311" s="4">
        <f>IF(ISERROR(VLOOKUP($T$311,'TAR FIN'!$A$1:$O$88,15,0)),0,VLOOKUP($T$311,'TAR FIN'!$A$1:$O$88,15,0))</f>
        <v>397.15</v>
      </c>
      <c r="X311" s="4">
        <f>IF(ISERROR(VLOOKUP($U$311,'TAR FIN'!$A$1:$O$88,15,0)),0,VLOOKUP($U$311,'TAR FIN'!$A$1:$O$88,15,0))</f>
        <v>135.24</v>
      </c>
      <c r="Y311" s="4"/>
      <c r="Z311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11" s="4">
        <f>('TE BE'!$AB$13+'TE BF'!$AB$13+'TE CVA'!$AB$13)*(1-CUSTOS!$M$36)</f>
        <v>122.96039139779091</v>
      </c>
      <c r="AB311" s="4">
        <f>$K$311*$V$311</f>
        <v>0</v>
      </c>
      <c r="AC311" s="4">
        <f>$M$311*$W$311</f>
        <v>52.4238</v>
      </c>
      <c r="AD311" s="4">
        <f>$O$311*$X$311</f>
        <v>17.851680000000002</v>
      </c>
      <c r="AE311" s="4">
        <f>$K$311*$Y$311</f>
        <v>0</v>
      </c>
      <c r="AF311" s="4">
        <f ca="1">$M$311*$Z$311</f>
        <v>57.981891724438327</v>
      </c>
      <c r="AG311" s="4">
        <f>$O$311*$AA$311</f>
        <v>16.230771664508403</v>
      </c>
    </row>
    <row r="312" spans="1:33" ht="11.25" customHeight="1" x14ac:dyDescent="0.25">
      <c r="A312" s="3" t="s">
        <v>55</v>
      </c>
      <c r="B312" s="3" t="s">
        <v>22</v>
      </c>
      <c r="C312" s="3" t="s">
        <v>23</v>
      </c>
      <c r="D312" s="3" t="s">
        <v>24</v>
      </c>
      <c r="E312" s="3" t="s">
        <v>31</v>
      </c>
      <c r="F312" s="3" t="s">
        <v>25</v>
      </c>
      <c r="G312" s="3" t="s">
        <v>25</v>
      </c>
      <c r="H312" s="3" t="s">
        <v>25</v>
      </c>
      <c r="I312" s="6">
        <v>44774</v>
      </c>
      <c r="J312" s="4">
        <v>0</v>
      </c>
      <c r="K312" s="4">
        <v>0</v>
      </c>
      <c r="L312" s="4">
        <v>37.328000000000003</v>
      </c>
      <c r="M312" s="4">
        <v>37.328000000000003</v>
      </c>
      <c r="N312" s="4">
        <v>37.328000000000003</v>
      </c>
      <c r="O312" s="4">
        <v>37.328000000000003</v>
      </c>
      <c r="P312" s="4">
        <v>262</v>
      </c>
      <c r="Q312" s="3" t="s">
        <v>26</v>
      </c>
      <c r="R312" s="3">
        <v>0</v>
      </c>
      <c r="S312" s="4">
        <v>0</v>
      </c>
      <c r="T312" s="4">
        <v>36</v>
      </c>
      <c r="U312" s="4">
        <v>86</v>
      </c>
      <c r="V312" s="4">
        <f>IF(ISERROR(VLOOKUP($S$312,'TAR FIN'!$A$1:$O$88,15,0)),0,VLOOKUP($S$312,'TAR FIN'!$A$1:$O$88,15,0))</f>
        <v>0</v>
      </c>
      <c r="W312" s="4">
        <f>IF(ISERROR(VLOOKUP($T$312,'TAR FIN'!$A$1:$O$88,15,0)),0,VLOOKUP($T$312,'TAR FIN'!$A$1:$O$88,15,0))</f>
        <v>397.15</v>
      </c>
      <c r="X312" s="4">
        <f>IF(ISERROR(VLOOKUP($U$312,'TAR FIN'!$A$1:$O$88,15,0)),0,VLOOKUP($U$312,'TAR FIN'!$A$1:$O$88,15,0))</f>
        <v>135.24</v>
      </c>
      <c r="Y312" s="4"/>
      <c r="Z312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12" s="4">
        <f>('TE BE'!$AB$13+'TE BF'!$AB$13+'TE CVA'!$AB$13)*(1-CUSTOS!$M$36)</f>
        <v>122.96039139779091</v>
      </c>
      <c r="AB312" s="4">
        <f>$K$312*$V$312</f>
        <v>0</v>
      </c>
      <c r="AC312" s="4">
        <f>$M$312*$W$312</f>
        <v>14824.815200000001</v>
      </c>
      <c r="AD312" s="4">
        <f>$O$312*$X$312</f>
        <v>5048.2387200000003</v>
      </c>
      <c r="AE312" s="4">
        <f>$K$312*$Y$312</f>
        <v>0</v>
      </c>
      <c r="AF312" s="4">
        <f ca="1">$M$312*$Z$312</f>
        <v>16396.576168862379</v>
      </c>
      <c r="AG312" s="4">
        <f>$O$312*$AA$312</f>
        <v>4589.8654900967394</v>
      </c>
    </row>
    <row r="313" spans="1:33" ht="11.25" customHeight="1" x14ac:dyDescent="0.25">
      <c r="A313" s="3" t="s">
        <v>55</v>
      </c>
      <c r="B313" s="3" t="s">
        <v>22</v>
      </c>
      <c r="C313" s="3" t="s">
        <v>23</v>
      </c>
      <c r="D313" s="3" t="s">
        <v>24</v>
      </c>
      <c r="E313" s="3" t="s">
        <v>31</v>
      </c>
      <c r="F313" s="3" t="s">
        <v>25</v>
      </c>
      <c r="G313" s="3" t="s">
        <v>25</v>
      </c>
      <c r="H313" s="3" t="s">
        <v>25</v>
      </c>
      <c r="I313" s="6">
        <v>44774</v>
      </c>
      <c r="J313" s="4">
        <v>0</v>
      </c>
      <c r="K313" s="4">
        <v>0</v>
      </c>
      <c r="L313" s="4">
        <v>0.13200000000000001</v>
      </c>
      <c r="M313" s="4">
        <v>0.13200000000000001</v>
      </c>
      <c r="N313" s="4">
        <v>0.13200000000000001</v>
      </c>
      <c r="O313" s="4">
        <v>0.13200000000000001</v>
      </c>
      <c r="P313" s="4">
        <v>0</v>
      </c>
      <c r="Q313" s="3" t="s">
        <v>26</v>
      </c>
      <c r="R313" s="3">
        <v>0</v>
      </c>
      <c r="S313" s="4">
        <v>0</v>
      </c>
      <c r="T313" s="4">
        <v>36</v>
      </c>
      <c r="U313" s="4">
        <v>86</v>
      </c>
      <c r="V313" s="4">
        <f>IF(ISERROR(VLOOKUP($S$313,'TAR FIN'!$A$1:$O$88,15,0)),0,VLOOKUP($S$313,'TAR FIN'!$A$1:$O$88,15,0))</f>
        <v>0</v>
      </c>
      <c r="W313" s="4">
        <f>IF(ISERROR(VLOOKUP($T$313,'TAR FIN'!$A$1:$O$88,15,0)),0,VLOOKUP($T$313,'TAR FIN'!$A$1:$O$88,15,0))</f>
        <v>397.15</v>
      </c>
      <c r="X313" s="4">
        <f>IF(ISERROR(VLOOKUP($U$313,'TAR FIN'!$A$1:$O$88,15,0)),0,VLOOKUP($U$313,'TAR FIN'!$A$1:$O$88,15,0))</f>
        <v>135.24</v>
      </c>
      <c r="Y313" s="4"/>
      <c r="Z313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313" s="4">
        <f>('TE BE'!$AB$13+'TE BF'!$AB$13+'TE CVA'!$AB$13)*(1-CUSTOS!$M$36)</f>
        <v>122.96039139779091</v>
      </c>
      <c r="AB313" s="4">
        <f>$K$313*$V$313</f>
        <v>0</v>
      </c>
      <c r="AC313" s="4">
        <f>$M$313*$W$313</f>
        <v>52.4238</v>
      </c>
      <c r="AD313" s="4">
        <f>$O$313*$X$313</f>
        <v>17.851680000000002</v>
      </c>
      <c r="AE313" s="4">
        <f>$K$313*$Y$313</f>
        <v>0</v>
      </c>
      <c r="AF313" s="4">
        <f ca="1">$M$313*$Z$313</f>
        <v>57.981891724438327</v>
      </c>
      <c r="AG313" s="4">
        <f>$O$313*$AA$313</f>
        <v>16.230771664508403</v>
      </c>
    </row>
    <row r="314" spans="1:3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32</v>
      </c>
      <c r="F314" s="3" t="s">
        <v>25</v>
      </c>
      <c r="G314" s="3" t="s">
        <v>25</v>
      </c>
      <c r="H314" s="3" t="s">
        <v>25</v>
      </c>
      <c r="I314" s="6">
        <v>44440</v>
      </c>
      <c r="J314" s="4">
        <v>0</v>
      </c>
      <c r="K314" s="4">
        <v>0</v>
      </c>
      <c r="L314" s="4">
        <v>14.227</v>
      </c>
      <c r="M314" s="4">
        <v>14.227</v>
      </c>
      <c r="N314" s="4">
        <v>14.227</v>
      </c>
      <c r="O314" s="4">
        <v>14.227</v>
      </c>
      <c r="P314" s="4">
        <v>186</v>
      </c>
      <c r="Q314" s="3" t="s">
        <v>26</v>
      </c>
      <c r="R314" s="3">
        <v>0</v>
      </c>
      <c r="S314" s="4">
        <v>0</v>
      </c>
      <c r="T314" s="4">
        <v>52</v>
      </c>
      <c r="U314" s="4">
        <v>87</v>
      </c>
      <c r="V314" s="4">
        <f>IF(ISERROR(VLOOKUP($S$314,'TAR FIN'!$A$1:$O$88,15,0)),0,VLOOKUP($S$314,'TAR FIN'!$A$1:$O$88,15,0))</f>
        <v>0</v>
      </c>
      <c r="W314" s="4">
        <f>IF(ISERROR(VLOOKUP($T$314,'TAR FIN'!$A$1:$O$88,15,0)),0,VLOOKUP($T$314,'TAR FIN'!$A$1:$O$88,15,0))</f>
        <v>441.28</v>
      </c>
      <c r="X314" s="4">
        <f>IF(ISERROR(VLOOKUP($U$314,'TAR FIN'!$A$1:$O$88,15,0)),0,VLOOKUP($U$314,'TAR FIN'!$A$1:$O$88,15,0))</f>
        <v>150.26</v>
      </c>
      <c r="Y314" s="4"/>
      <c r="Z314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4" s="4">
        <f>('TE BE'!$AB$14+'TE BF'!$AB$14+'TE CVA'!$AB$14)*(1-CUSTOS!$M$37)</f>
        <v>136.62265710865657</v>
      </c>
      <c r="AB314" s="4">
        <f>$K$314*$V$314</f>
        <v>0</v>
      </c>
      <c r="AC314" s="4">
        <f>$M$314*$W$314</f>
        <v>6278.0905599999996</v>
      </c>
      <c r="AD314" s="4">
        <f>$O$314*$X$314</f>
        <v>2137.7490199999997</v>
      </c>
      <c r="AE314" s="4">
        <f>$K$314*$Y$314</f>
        <v>0</v>
      </c>
      <c r="AF314" s="4">
        <f ca="1">$M$314*$Z$314</f>
        <v>6943.673178144647</v>
      </c>
      <c r="AG314" s="4">
        <f>$O$314*$AA$314</f>
        <v>1943.730542684857</v>
      </c>
    </row>
    <row r="315" spans="1:3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32</v>
      </c>
      <c r="F315" s="3" t="s">
        <v>25</v>
      </c>
      <c r="G315" s="3" t="s">
        <v>25</v>
      </c>
      <c r="H315" s="3" t="s">
        <v>25</v>
      </c>
      <c r="I315" s="6">
        <v>44470</v>
      </c>
      <c r="J315" s="4">
        <v>0</v>
      </c>
      <c r="K315" s="4">
        <v>0</v>
      </c>
      <c r="L315" s="4">
        <v>13.89</v>
      </c>
      <c r="M315" s="4">
        <v>13.89</v>
      </c>
      <c r="N315" s="4">
        <v>13.89</v>
      </c>
      <c r="O315" s="4">
        <v>13.89</v>
      </c>
      <c r="P315" s="4">
        <v>173</v>
      </c>
      <c r="Q315" s="3" t="s">
        <v>26</v>
      </c>
      <c r="R315" s="3">
        <v>0</v>
      </c>
      <c r="S315" s="4">
        <v>0</v>
      </c>
      <c r="T315" s="4">
        <v>52</v>
      </c>
      <c r="U315" s="4">
        <v>87</v>
      </c>
      <c r="V315" s="4">
        <f>IF(ISERROR(VLOOKUP($S$315,'TAR FIN'!$A$1:$O$88,15,0)),0,VLOOKUP($S$315,'TAR FIN'!$A$1:$O$88,15,0))</f>
        <v>0</v>
      </c>
      <c r="W315" s="4">
        <f>IF(ISERROR(VLOOKUP($T$315,'TAR FIN'!$A$1:$O$88,15,0)),0,VLOOKUP($T$315,'TAR FIN'!$A$1:$O$88,15,0))</f>
        <v>441.28</v>
      </c>
      <c r="X315" s="4">
        <f>IF(ISERROR(VLOOKUP($U$315,'TAR FIN'!$A$1:$O$88,15,0)),0,VLOOKUP($U$315,'TAR FIN'!$A$1:$O$88,15,0))</f>
        <v>150.26</v>
      </c>
      <c r="Y315" s="4"/>
      <c r="Z315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5" s="4">
        <f>('TE BE'!$AB$14+'TE BF'!$AB$14+'TE CVA'!$AB$14)*(1-CUSTOS!$M$37)</f>
        <v>136.62265710865657</v>
      </c>
      <c r="AB315" s="4">
        <f>$K$315*$V$315</f>
        <v>0</v>
      </c>
      <c r="AC315" s="4">
        <f>$M$315*$W$315</f>
        <v>6129.3792000000003</v>
      </c>
      <c r="AD315" s="4">
        <f>$O$315*$X$315</f>
        <v>2087.1113999999998</v>
      </c>
      <c r="AE315" s="4">
        <f>$K$315*$Y$315</f>
        <v>0</v>
      </c>
      <c r="AF315" s="4">
        <f ca="1">$M$315*$Z$315</f>
        <v>6779.1959263674098</v>
      </c>
      <c r="AG315" s="4">
        <f>$O$315*$AA$315</f>
        <v>1897.6887072392399</v>
      </c>
    </row>
    <row r="316" spans="1:33" ht="11.25" customHeight="1" x14ac:dyDescent="0.25">
      <c r="A316" s="3" t="s">
        <v>27</v>
      </c>
      <c r="B316" s="3" t="s">
        <v>22</v>
      </c>
      <c r="C316" s="3" t="s">
        <v>23</v>
      </c>
      <c r="D316" s="3" t="s">
        <v>24</v>
      </c>
      <c r="E316" s="3" t="s">
        <v>32</v>
      </c>
      <c r="F316" s="3" t="s">
        <v>25</v>
      </c>
      <c r="G316" s="3" t="s">
        <v>25</v>
      </c>
      <c r="H316" s="3" t="s">
        <v>25</v>
      </c>
      <c r="I316" s="6">
        <v>44470</v>
      </c>
      <c r="J316" s="4">
        <v>0</v>
      </c>
      <c r="K316" s="4">
        <v>0</v>
      </c>
      <c r="L316" s="4">
        <v>-3.6999999999999998E-2</v>
      </c>
      <c r="M316" s="4">
        <v>-3.6999999999999998E-2</v>
      </c>
      <c r="N316" s="4">
        <v>-3.6999999999999998E-2</v>
      </c>
      <c r="O316" s="4">
        <v>-3.6999999999999998E-2</v>
      </c>
      <c r="P316" s="4">
        <v>0</v>
      </c>
      <c r="Q316" s="3" t="s">
        <v>26</v>
      </c>
      <c r="R316" s="3">
        <v>0</v>
      </c>
      <c r="S316" s="4">
        <v>0</v>
      </c>
      <c r="T316" s="4">
        <v>52</v>
      </c>
      <c r="U316" s="4">
        <v>87</v>
      </c>
      <c r="V316" s="4">
        <f>IF(ISERROR(VLOOKUP($S$316,'TAR FIN'!$A$1:$O$88,15,0)),0,VLOOKUP($S$316,'TAR FIN'!$A$1:$O$88,15,0))</f>
        <v>0</v>
      </c>
      <c r="W316" s="4">
        <f>IF(ISERROR(VLOOKUP($T$316,'TAR FIN'!$A$1:$O$88,15,0)),0,VLOOKUP($T$316,'TAR FIN'!$A$1:$O$88,15,0))</f>
        <v>441.28</v>
      </c>
      <c r="X316" s="4">
        <f>IF(ISERROR(VLOOKUP($U$316,'TAR FIN'!$A$1:$O$88,15,0)),0,VLOOKUP($U$316,'TAR FIN'!$A$1:$O$88,15,0))</f>
        <v>150.26</v>
      </c>
      <c r="Y316" s="4"/>
      <c r="Z316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6" s="4">
        <f>('TE BE'!$AB$14+'TE BF'!$AB$14+'TE CVA'!$AB$14)*(1-CUSTOS!$M$37)</f>
        <v>136.62265710865657</v>
      </c>
      <c r="AB316" s="4">
        <f>$K$316*$V$316</f>
        <v>0</v>
      </c>
      <c r="AC316" s="4">
        <f>$M$316*$W$316</f>
        <v>-16.327359999999999</v>
      </c>
      <c r="AD316" s="4">
        <f>$O$316*$X$316</f>
        <v>-5.5596199999999998</v>
      </c>
      <c r="AE316" s="4">
        <f>$K$316*$Y$316</f>
        <v>0</v>
      </c>
      <c r="AF316" s="4">
        <f ca="1">$M$316*$Z$316</f>
        <v>-18.058333281180285</v>
      </c>
      <c r="AG316" s="4">
        <f>$O$316*$AA$316</f>
        <v>-5.0550383130202929</v>
      </c>
    </row>
    <row r="317" spans="1:3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32</v>
      </c>
      <c r="F317" s="3" t="s">
        <v>25</v>
      </c>
      <c r="G317" s="3" t="s">
        <v>25</v>
      </c>
      <c r="H317" s="3" t="s">
        <v>25</v>
      </c>
      <c r="I317" s="6">
        <v>44501</v>
      </c>
      <c r="J317" s="4">
        <v>0</v>
      </c>
      <c r="K317" s="4">
        <v>0</v>
      </c>
      <c r="L317" s="4">
        <v>15.231999999999999</v>
      </c>
      <c r="M317" s="4">
        <v>15.231999999999999</v>
      </c>
      <c r="N317" s="4">
        <v>15.231999999999999</v>
      </c>
      <c r="O317" s="4">
        <v>15.231999999999999</v>
      </c>
      <c r="P317" s="4">
        <v>183</v>
      </c>
      <c r="Q317" s="3" t="s">
        <v>26</v>
      </c>
      <c r="R317" s="3">
        <v>0</v>
      </c>
      <c r="S317" s="4">
        <v>0</v>
      </c>
      <c r="T317" s="4">
        <v>52</v>
      </c>
      <c r="U317" s="4">
        <v>87</v>
      </c>
      <c r="V317" s="4">
        <f>IF(ISERROR(VLOOKUP($S$317,'TAR FIN'!$A$1:$O$88,15,0)),0,VLOOKUP($S$317,'TAR FIN'!$A$1:$O$88,15,0))</f>
        <v>0</v>
      </c>
      <c r="W317" s="4">
        <f>IF(ISERROR(VLOOKUP($T$317,'TAR FIN'!$A$1:$O$88,15,0)),0,VLOOKUP($T$317,'TAR FIN'!$A$1:$O$88,15,0))</f>
        <v>441.28</v>
      </c>
      <c r="X317" s="4">
        <f>IF(ISERROR(VLOOKUP($U$317,'TAR FIN'!$A$1:$O$88,15,0)),0,VLOOKUP($U$317,'TAR FIN'!$A$1:$O$88,15,0))</f>
        <v>150.26</v>
      </c>
      <c r="Y317" s="4"/>
      <c r="Z317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7" s="4">
        <f>('TE BE'!$AB$14+'TE BF'!$AB$14+'TE CVA'!$AB$14)*(1-CUSTOS!$M$37)</f>
        <v>136.62265710865657</v>
      </c>
      <c r="AB317" s="4">
        <f>$K$317*$V$317</f>
        <v>0</v>
      </c>
      <c r="AC317" s="4">
        <f>$M$317*$W$317</f>
        <v>6721.5769599999994</v>
      </c>
      <c r="AD317" s="4">
        <f>$O$317*$X$317</f>
        <v>2288.7603199999999</v>
      </c>
      <c r="AE317" s="4">
        <f>$K$317*$Y$317</f>
        <v>0</v>
      </c>
      <c r="AF317" s="4">
        <f ca="1">$M$317*$Z$317</f>
        <v>7434.1765551064354</v>
      </c>
      <c r="AG317" s="4">
        <f>$O$317*$AA$317</f>
        <v>2081.036313079057</v>
      </c>
    </row>
    <row r="318" spans="1:33" ht="11.25" customHeight="1" x14ac:dyDescent="0.25">
      <c r="A318" s="3" t="s">
        <v>27</v>
      </c>
      <c r="B318" s="3" t="s">
        <v>22</v>
      </c>
      <c r="C318" s="3" t="s">
        <v>23</v>
      </c>
      <c r="D318" s="3" t="s">
        <v>24</v>
      </c>
      <c r="E318" s="3" t="s">
        <v>32</v>
      </c>
      <c r="F318" s="3" t="s">
        <v>25</v>
      </c>
      <c r="G318" s="3" t="s">
        <v>25</v>
      </c>
      <c r="H318" s="3" t="s">
        <v>25</v>
      </c>
      <c r="I318" s="6">
        <v>44501</v>
      </c>
      <c r="J318" s="4">
        <v>0</v>
      </c>
      <c r="K318" s="4">
        <v>0</v>
      </c>
      <c r="L318" s="4">
        <v>-1.2809999999999999</v>
      </c>
      <c r="M318" s="4">
        <v>-1.2809999999999999</v>
      </c>
      <c r="N318" s="4">
        <v>-1.2809999999999999</v>
      </c>
      <c r="O318" s="4">
        <v>-1.2809999999999999</v>
      </c>
      <c r="P318" s="4">
        <v>0</v>
      </c>
      <c r="Q318" s="3" t="s">
        <v>26</v>
      </c>
      <c r="R318" s="3">
        <v>0</v>
      </c>
      <c r="S318" s="4">
        <v>0</v>
      </c>
      <c r="T318" s="4">
        <v>52</v>
      </c>
      <c r="U318" s="4">
        <v>87</v>
      </c>
      <c r="V318" s="4">
        <f>IF(ISERROR(VLOOKUP($S$318,'TAR FIN'!$A$1:$O$88,15,0)),0,VLOOKUP($S$318,'TAR FIN'!$A$1:$O$88,15,0))</f>
        <v>0</v>
      </c>
      <c r="W318" s="4">
        <f>IF(ISERROR(VLOOKUP($T$318,'TAR FIN'!$A$1:$O$88,15,0)),0,VLOOKUP($T$318,'TAR FIN'!$A$1:$O$88,15,0))</f>
        <v>441.28</v>
      </c>
      <c r="X318" s="4">
        <f>IF(ISERROR(VLOOKUP($U$318,'TAR FIN'!$A$1:$O$88,15,0)),0,VLOOKUP($U$318,'TAR FIN'!$A$1:$O$88,15,0))</f>
        <v>150.26</v>
      </c>
      <c r="Y318" s="4"/>
      <c r="Z318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8" s="4">
        <f>('TE BE'!$AB$14+'TE BF'!$AB$14+'TE CVA'!$AB$14)*(1-CUSTOS!$M$37)</f>
        <v>136.62265710865657</v>
      </c>
      <c r="AB318" s="4">
        <f>$K$318*$V$318</f>
        <v>0</v>
      </c>
      <c r="AC318" s="4">
        <f>$M$318*$W$318</f>
        <v>-565.27967999999998</v>
      </c>
      <c r="AD318" s="4">
        <f>$O$318*$X$318</f>
        <v>-192.48305999999997</v>
      </c>
      <c r="AE318" s="4">
        <f>$K$318*$Y$318</f>
        <v>0</v>
      </c>
      <c r="AF318" s="4">
        <f ca="1">$M$318*$Z$318</f>
        <v>-625.20878197816069</v>
      </c>
      <c r="AG318" s="4">
        <f>$O$318*$AA$318</f>
        <v>-175.01362375618905</v>
      </c>
    </row>
    <row r="319" spans="1:3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32</v>
      </c>
      <c r="F319" s="3" t="s">
        <v>25</v>
      </c>
      <c r="G319" s="3" t="s">
        <v>25</v>
      </c>
      <c r="H319" s="3" t="s">
        <v>25</v>
      </c>
      <c r="I319" s="6">
        <v>44531</v>
      </c>
      <c r="J319" s="4">
        <v>0</v>
      </c>
      <c r="K319" s="4">
        <v>0</v>
      </c>
      <c r="L319" s="4">
        <v>17.779</v>
      </c>
      <c r="M319" s="4">
        <v>17.779</v>
      </c>
      <c r="N319" s="4">
        <v>17.779</v>
      </c>
      <c r="O319" s="4">
        <v>17.779</v>
      </c>
      <c r="P319" s="4">
        <v>207</v>
      </c>
      <c r="Q319" s="3" t="s">
        <v>26</v>
      </c>
      <c r="R319" s="3">
        <v>0</v>
      </c>
      <c r="S319" s="4">
        <v>0</v>
      </c>
      <c r="T319" s="4">
        <v>52</v>
      </c>
      <c r="U319" s="4">
        <v>87</v>
      </c>
      <c r="V319" s="4">
        <f>IF(ISERROR(VLOOKUP($S$319,'TAR FIN'!$A$1:$O$88,15,0)),0,VLOOKUP($S$319,'TAR FIN'!$A$1:$O$88,15,0))</f>
        <v>0</v>
      </c>
      <c r="W319" s="4">
        <f>IF(ISERROR(VLOOKUP($T$319,'TAR FIN'!$A$1:$O$88,15,0)),0,VLOOKUP($T$319,'TAR FIN'!$A$1:$O$88,15,0))</f>
        <v>441.28</v>
      </c>
      <c r="X319" s="4">
        <f>IF(ISERROR(VLOOKUP($U$319,'TAR FIN'!$A$1:$O$88,15,0)),0,VLOOKUP($U$319,'TAR FIN'!$A$1:$O$88,15,0))</f>
        <v>150.26</v>
      </c>
      <c r="Y319" s="4"/>
      <c r="Z319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19" s="4">
        <f>('TE BE'!$AB$14+'TE BF'!$AB$14+'TE CVA'!$AB$14)*(1-CUSTOS!$M$37)</f>
        <v>136.62265710865657</v>
      </c>
      <c r="AB319" s="4">
        <f>$K$319*$V$319</f>
        <v>0</v>
      </c>
      <c r="AC319" s="4">
        <f>$M$319*$W$319</f>
        <v>7845.5171199999995</v>
      </c>
      <c r="AD319" s="4">
        <f>$O$319*$X$319</f>
        <v>2671.4725399999998</v>
      </c>
      <c r="AE319" s="4">
        <f>$K$319*$Y$319</f>
        <v>0</v>
      </c>
      <c r="AF319" s="4">
        <f ca="1">$M$319*$Z$319</f>
        <v>8677.2731731379536</v>
      </c>
      <c r="AG319" s="4">
        <f>$O$319*$AA$319</f>
        <v>2429.0142207348049</v>
      </c>
    </row>
    <row r="320" spans="1:33" ht="11.25" customHeight="1" x14ac:dyDescent="0.25">
      <c r="A320" s="3" t="s">
        <v>27</v>
      </c>
      <c r="B320" s="3" t="s">
        <v>22</v>
      </c>
      <c r="C320" s="3" t="s">
        <v>23</v>
      </c>
      <c r="D320" s="3" t="s">
        <v>24</v>
      </c>
      <c r="E320" s="3" t="s">
        <v>32</v>
      </c>
      <c r="F320" s="3" t="s">
        <v>25</v>
      </c>
      <c r="G320" s="3" t="s">
        <v>25</v>
      </c>
      <c r="H320" s="3" t="s">
        <v>25</v>
      </c>
      <c r="I320" s="6">
        <v>44531</v>
      </c>
      <c r="J320" s="4">
        <v>0</v>
      </c>
      <c r="K320" s="4">
        <v>0</v>
      </c>
      <c r="L320" s="4">
        <v>-0.245</v>
      </c>
      <c r="M320" s="4">
        <v>-0.245</v>
      </c>
      <c r="N320" s="4">
        <v>-0.245</v>
      </c>
      <c r="O320" s="4">
        <v>-0.245</v>
      </c>
      <c r="P320" s="4">
        <v>0</v>
      </c>
      <c r="Q320" s="3" t="s">
        <v>26</v>
      </c>
      <c r="R320" s="3">
        <v>0</v>
      </c>
      <c r="S320" s="4">
        <v>0</v>
      </c>
      <c r="T320" s="4">
        <v>52</v>
      </c>
      <c r="U320" s="4">
        <v>87</v>
      </c>
      <c r="V320" s="4">
        <f>IF(ISERROR(VLOOKUP($S$320,'TAR FIN'!$A$1:$O$88,15,0)),0,VLOOKUP($S$320,'TAR FIN'!$A$1:$O$88,15,0))</f>
        <v>0</v>
      </c>
      <c r="W320" s="4">
        <f>IF(ISERROR(VLOOKUP($T$320,'TAR FIN'!$A$1:$O$88,15,0)),0,VLOOKUP($T$320,'TAR FIN'!$A$1:$O$88,15,0))</f>
        <v>441.28</v>
      </c>
      <c r="X320" s="4">
        <f>IF(ISERROR(VLOOKUP($U$320,'TAR FIN'!$A$1:$O$88,15,0)),0,VLOOKUP($U$320,'TAR FIN'!$A$1:$O$88,15,0))</f>
        <v>150.26</v>
      </c>
      <c r="Y320" s="4"/>
      <c r="Z320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0" s="4">
        <f>('TE BE'!$AB$14+'TE BF'!$AB$14+'TE CVA'!$AB$14)*(1-CUSTOS!$M$37)</f>
        <v>136.62265710865657</v>
      </c>
      <c r="AB320" s="4">
        <f>$K$320*$V$320</f>
        <v>0</v>
      </c>
      <c r="AC320" s="4">
        <f>$M$320*$W$320</f>
        <v>-108.11359999999999</v>
      </c>
      <c r="AD320" s="4">
        <f>$O$320*$X$320</f>
        <v>-36.813699999999997</v>
      </c>
      <c r="AE320" s="4">
        <f>$K$320*$Y$320</f>
        <v>0</v>
      </c>
      <c r="AF320" s="4">
        <f ca="1">$M$320*$Z$320</f>
        <v>-119.57545010511269</v>
      </c>
      <c r="AG320" s="4">
        <f>$O$320*$AA$320</f>
        <v>-33.472550991620857</v>
      </c>
    </row>
    <row r="321" spans="1:3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32</v>
      </c>
      <c r="F321" s="3" t="s">
        <v>25</v>
      </c>
      <c r="G321" s="3" t="s">
        <v>25</v>
      </c>
      <c r="H321" s="3" t="s">
        <v>25</v>
      </c>
      <c r="I321" s="6">
        <v>44562</v>
      </c>
      <c r="J321" s="4">
        <v>0</v>
      </c>
      <c r="K321" s="4">
        <v>0</v>
      </c>
      <c r="L321" s="4">
        <v>30.530999999999999</v>
      </c>
      <c r="M321" s="4">
        <v>30.530999999999999</v>
      </c>
      <c r="N321" s="4">
        <v>30.530999999999999</v>
      </c>
      <c r="O321" s="4">
        <v>30.530999999999999</v>
      </c>
      <c r="P321" s="4">
        <v>273</v>
      </c>
      <c r="Q321" s="3" t="s">
        <v>26</v>
      </c>
      <c r="R321" s="3">
        <v>0</v>
      </c>
      <c r="S321" s="4">
        <v>0</v>
      </c>
      <c r="T321" s="4">
        <v>52</v>
      </c>
      <c r="U321" s="4">
        <v>87</v>
      </c>
      <c r="V321" s="4">
        <f>IF(ISERROR(VLOOKUP($S$321,'TAR FIN'!$A$1:$O$88,15,0)),0,VLOOKUP($S$321,'TAR FIN'!$A$1:$O$88,15,0))</f>
        <v>0</v>
      </c>
      <c r="W321" s="4">
        <f>IF(ISERROR(VLOOKUP($T$321,'TAR FIN'!$A$1:$O$88,15,0)),0,VLOOKUP($T$321,'TAR FIN'!$A$1:$O$88,15,0))</f>
        <v>441.28</v>
      </c>
      <c r="X321" s="4">
        <f>IF(ISERROR(VLOOKUP($U$321,'TAR FIN'!$A$1:$O$88,15,0)),0,VLOOKUP($U$321,'TAR FIN'!$A$1:$O$88,15,0))</f>
        <v>150.26</v>
      </c>
      <c r="Y321" s="4"/>
      <c r="Z321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1" s="4">
        <f>('TE BE'!$AB$14+'TE BF'!$AB$14+'TE CVA'!$AB$14)*(1-CUSTOS!$M$37)</f>
        <v>136.62265710865657</v>
      </c>
      <c r="AB321" s="4">
        <f>$K$321*$V$321</f>
        <v>0</v>
      </c>
      <c r="AC321" s="4">
        <f>$M$321*$W$321</f>
        <v>13472.719679999998</v>
      </c>
      <c r="AD321" s="4">
        <f>$O$321*$X$321</f>
        <v>4587.5880599999991</v>
      </c>
      <c r="AE321" s="4">
        <f>$K$321*$Y$321</f>
        <v>0</v>
      </c>
      <c r="AF321" s="4">
        <f ca="1">$M$321*$Z$321</f>
        <v>14901.053335343657</v>
      </c>
      <c r="AG321" s="4">
        <f>$O$321*$AA$321</f>
        <v>4171.2263441843934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32</v>
      </c>
      <c r="F322" s="3" t="s">
        <v>25</v>
      </c>
      <c r="G322" s="3" t="s">
        <v>25</v>
      </c>
      <c r="H322" s="3" t="s">
        <v>25</v>
      </c>
      <c r="I322" s="6">
        <v>44593</v>
      </c>
      <c r="J322" s="4">
        <v>0</v>
      </c>
      <c r="K322" s="4">
        <v>0</v>
      </c>
      <c r="L322" s="4">
        <v>28.343</v>
      </c>
      <c r="M322" s="4">
        <v>28.343</v>
      </c>
      <c r="N322" s="4">
        <v>28.343</v>
      </c>
      <c r="O322" s="4">
        <v>28.343</v>
      </c>
      <c r="P322" s="4">
        <v>255</v>
      </c>
      <c r="Q322" s="3" t="s">
        <v>26</v>
      </c>
      <c r="R322" s="3">
        <v>0</v>
      </c>
      <c r="S322" s="4">
        <v>0</v>
      </c>
      <c r="T322" s="4">
        <v>52</v>
      </c>
      <c r="U322" s="4">
        <v>87</v>
      </c>
      <c r="V322" s="4">
        <f>IF(ISERROR(VLOOKUP($S$322,'TAR FIN'!$A$1:$O$88,15,0)),0,VLOOKUP($S$322,'TAR FIN'!$A$1:$O$88,15,0))</f>
        <v>0</v>
      </c>
      <c r="W322" s="4">
        <f>IF(ISERROR(VLOOKUP($T$322,'TAR FIN'!$A$1:$O$88,15,0)),0,VLOOKUP($T$322,'TAR FIN'!$A$1:$O$88,15,0))</f>
        <v>441.28</v>
      </c>
      <c r="X322" s="4">
        <f>IF(ISERROR(VLOOKUP($U$322,'TAR FIN'!$A$1:$O$88,15,0)),0,VLOOKUP($U$322,'TAR FIN'!$A$1:$O$88,15,0))</f>
        <v>150.26</v>
      </c>
      <c r="Y322" s="4"/>
      <c r="Z322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2" s="4">
        <f>('TE BE'!$AB$14+'TE BF'!$AB$14+'TE CVA'!$AB$14)*(1-CUSTOS!$M$37)</f>
        <v>136.62265710865657</v>
      </c>
      <c r="AB322" s="4">
        <f>$K$322*$V$322</f>
        <v>0</v>
      </c>
      <c r="AC322" s="4">
        <f>$M$322*$W$322</f>
        <v>12507.19904</v>
      </c>
      <c r="AD322" s="4">
        <f>$O$322*$X$322</f>
        <v>4258.8191799999995</v>
      </c>
      <c r="AE322" s="4">
        <f>$K$322*$Y$322</f>
        <v>0</v>
      </c>
      <c r="AF322" s="4">
        <f ca="1">$M$322*$Z$322</f>
        <v>13833.171356445751</v>
      </c>
      <c r="AG322" s="4">
        <f>$O$322*$AA$322</f>
        <v>3872.2959704306531</v>
      </c>
    </row>
    <row r="323" spans="1:3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32</v>
      </c>
      <c r="F323" s="3" t="s">
        <v>25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24.643999999999998</v>
      </c>
      <c r="M323" s="4">
        <v>24.643999999999998</v>
      </c>
      <c r="N323" s="4">
        <v>24.643999999999998</v>
      </c>
      <c r="O323" s="4">
        <v>24.643999999999998</v>
      </c>
      <c r="P323" s="4">
        <v>239</v>
      </c>
      <c r="Q323" s="3" t="s">
        <v>26</v>
      </c>
      <c r="R323" s="3">
        <v>0</v>
      </c>
      <c r="S323" s="4">
        <v>0</v>
      </c>
      <c r="T323" s="4">
        <v>52</v>
      </c>
      <c r="U323" s="4">
        <v>87</v>
      </c>
      <c r="V323" s="4">
        <f>IF(ISERROR(VLOOKUP($S$323,'TAR FIN'!$A$1:$O$88,15,0)),0,VLOOKUP($S$323,'TAR FIN'!$A$1:$O$88,15,0))</f>
        <v>0</v>
      </c>
      <c r="W323" s="4">
        <f>IF(ISERROR(VLOOKUP($T$323,'TAR FIN'!$A$1:$O$88,15,0)),0,VLOOKUP($T$323,'TAR FIN'!$A$1:$O$88,15,0))</f>
        <v>441.28</v>
      </c>
      <c r="X323" s="4">
        <f>IF(ISERROR(VLOOKUP($U$323,'TAR FIN'!$A$1:$O$88,15,0)),0,VLOOKUP($U$323,'TAR FIN'!$A$1:$O$88,15,0))</f>
        <v>150.26</v>
      </c>
      <c r="Y323" s="4"/>
      <c r="Z323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3" s="4">
        <f>('TE BE'!$AB$14+'TE BF'!$AB$14+'TE CVA'!$AB$14)*(1-CUSTOS!$M$37)</f>
        <v>136.62265710865657</v>
      </c>
      <c r="AB323" s="4">
        <f>$K$323*$V$323</f>
        <v>0</v>
      </c>
      <c r="AC323" s="4">
        <f>$M$323*$W$323</f>
        <v>10874.904319999998</v>
      </c>
      <c r="AD323" s="4">
        <f>$O$323*$X$323</f>
        <v>3703.0074399999994</v>
      </c>
      <c r="AE323" s="4">
        <f>$K$323*$Y$323</f>
        <v>0</v>
      </c>
      <c r="AF323" s="4">
        <f ca="1">$M$323*$Z$323</f>
        <v>12027.826091389377</v>
      </c>
      <c r="AG323" s="4">
        <f>$O$323*$AA$323</f>
        <v>3366.9287617857321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32</v>
      </c>
      <c r="F324" s="3" t="s">
        <v>25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19.66</v>
      </c>
      <c r="M324" s="4">
        <v>19.66</v>
      </c>
      <c r="N324" s="4">
        <v>19.66</v>
      </c>
      <c r="O324" s="4">
        <v>19.66</v>
      </c>
      <c r="P324" s="4">
        <v>225</v>
      </c>
      <c r="Q324" s="3" t="s">
        <v>26</v>
      </c>
      <c r="R324" s="3">
        <v>0</v>
      </c>
      <c r="S324" s="4">
        <v>0</v>
      </c>
      <c r="T324" s="4">
        <v>52</v>
      </c>
      <c r="U324" s="4">
        <v>87</v>
      </c>
      <c r="V324" s="4">
        <f>IF(ISERROR(VLOOKUP($S$324,'TAR FIN'!$A$1:$O$88,15,0)),0,VLOOKUP($S$324,'TAR FIN'!$A$1:$O$88,15,0))</f>
        <v>0</v>
      </c>
      <c r="W324" s="4">
        <f>IF(ISERROR(VLOOKUP($T$324,'TAR FIN'!$A$1:$O$88,15,0)),0,VLOOKUP($T$324,'TAR FIN'!$A$1:$O$88,15,0))</f>
        <v>441.28</v>
      </c>
      <c r="X324" s="4">
        <f>IF(ISERROR(VLOOKUP($U$324,'TAR FIN'!$A$1:$O$88,15,0)),0,VLOOKUP($U$324,'TAR FIN'!$A$1:$O$88,15,0))</f>
        <v>150.26</v>
      </c>
      <c r="Y324" s="4"/>
      <c r="Z324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4" s="4">
        <f>('TE BE'!$AB$14+'TE BF'!$AB$14+'TE CVA'!$AB$14)*(1-CUSTOS!$M$37)</f>
        <v>136.62265710865657</v>
      </c>
      <c r="AB324" s="4">
        <f>$K$324*$V$324</f>
        <v>0</v>
      </c>
      <c r="AC324" s="4">
        <f>$M$324*$W$324</f>
        <v>8675.5648000000001</v>
      </c>
      <c r="AD324" s="4">
        <f>$O$324*$X$324</f>
        <v>2954.1115999999997</v>
      </c>
      <c r="AE324" s="4">
        <f>$K$324*$Y$324</f>
        <v>0</v>
      </c>
      <c r="AF324" s="4">
        <f ca="1">$M$324*$Z$324</f>
        <v>9595.3197921082283</v>
      </c>
      <c r="AG324" s="4">
        <f>$O$324*$AA$324</f>
        <v>2686.0014387561882</v>
      </c>
    </row>
    <row r="325" spans="1:3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32</v>
      </c>
      <c r="F325" s="3" t="s">
        <v>25</v>
      </c>
      <c r="G325" s="3" t="s">
        <v>25</v>
      </c>
      <c r="H325" s="3" t="s">
        <v>25</v>
      </c>
      <c r="I325" s="6">
        <v>44682</v>
      </c>
      <c r="J325" s="4">
        <v>0</v>
      </c>
      <c r="K325" s="4">
        <v>0</v>
      </c>
      <c r="L325" s="4">
        <v>13.004</v>
      </c>
      <c r="M325" s="4">
        <v>13.004</v>
      </c>
      <c r="N325" s="4">
        <v>13.004</v>
      </c>
      <c r="O325" s="4">
        <v>13.004</v>
      </c>
      <c r="P325" s="4">
        <v>186</v>
      </c>
      <c r="Q325" s="3" t="s">
        <v>26</v>
      </c>
      <c r="R325" s="3">
        <v>0</v>
      </c>
      <c r="S325" s="4">
        <v>0</v>
      </c>
      <c r="T325" s="4">
        <v>52</v>
      </c>
      <c r="U325" s="4">
        <v>87</v>
      </c>
      <c r="V325" s="4">
        <f>IF(ISERROR(VLOOKUP($S$325,'TAR FIN'!$A$1:$O$88,15,0)),0,VLOOKUP($S$325,'TAR FIN'!$A$1:$O$88,15,0))</f>
        <v>0</v>
      </c>
      <c r="W325" s="4">
        <f>IF(ISERROR(VLOOKUP($T$325,'TAR FIN'!$A$1:$O$88,15,0)),0,VLOOKUP($T$325,'TAR FIN'!$A$1:$O$88,15,0))</f>
        <v>441.28</v>
      </c>
      <c r="X325" s="4">
        <f>IF(ISERROR(VLOOKUP($U$325,'TAR FIN'!$A$1:$O$88,15,0)),0,VLOOKUP($U$325,'TAR FIN'!$A$1:$O$88,15,0))</f>
        <v>150.26</v>
      </c>
      <c r="Y325" s="4"/>
      <c r="Z325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5" s="4">
        <f>('TE BE'!$AB$14+'TE BF'!$AB$14+'TE CVA'!$AB$14)*(1-CUSTOS!$M$37)</f>
        <v>136.62265710865657</v>
      </c>
      <c r="AB325" s="4">
        <f>$K$325*$V$325</f>
        <v>0</v>
      </c>
      <c r="AC325" s="4">
        <f>$M$325*$W$325</f>
        <v>5738.4051199999994</v>
      </c>
      <c r="AD325" s="4">
        <f>$O$325*$X$325</f>
        <v>1953.9810399999999</v>
      </c>
      <c r="AE325" s="4">
        <f>$K$325*$Y$325</f>
        <v>0</v>
      </c>
      <c r="AF325" s="4">
        <f ca="1">$M$325*$Z$325</f>
        <v>6346.7720537423902</v>
      </c>
      <c r="AG325" s="4">
        <f>$O$325*$AA$325</f>
        <v>1776.6410330409699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32</v>
      </c>
      <c r="F326" s="3" t="s">
        <v>25</v>
      </c>
      <c r="G326" s="3" t="s">
        <v>25</v>
      </c>
      <c r="H326" s="3" t="s">
        <v>25</v>
      </c>
      <c r="I326" s="6">
        <v>44713</v>
      </c>
      <c r="J326" s="4">
        <v>0</v>
      </c>
      <c r="K326" s="4">
        <v>0</v>
      </c>
      <c r="L326" s="4">
        <v>18.523</v>
      </c>
      <c r="M326" s="4">
        <v>18.523</v>
      </c>
      <c r="N326" s="4">
        <v>18.523</v>
      </c>
      <c r="O326" s="4">
        <v>18.523</v>
      </c>
      <c r="P326" s="4">
        <v>197</v>
      </c>
      <c r="Q326" s="3" t="s">
        <v>26</v>
      </c>
      <c r="R326" s="3">
        <v>0</v>
      </c>
      <c r="S326" s="4">
        <v>0</v>
      </c>
      <c r="T326" s="4">
        <v>52</v>
      </c>
      <c r="U326" s="4">
        <v>87</v>
      </c>
      <c r="V326" s="4">
        <f>IF(ISERROR(VLOOKUP($S$326,'TAR FIN'!$A$1:$O$88,15,0)),0,VLOOKUP($S$326,'TAR FIN'!$A$1:$O$88,15,0))</f>
        <v>0</v>
      </c>
      <c r="W326" s="4">
        <f>IF(ISERROR(VLOOKUP($T$326,'TAR FIN'!$A$1:$O$88,15,0)),0,VLOOKUP($T$326,'TAR FIN'!$A$1:$O$88,15,0))</f>
        <v>441.28</v>
      </c>
      <c r="X326" s="4">
        <f>IF(ISERROR(VLOOKUP($U$326,'TAR FIN'!$A$1:$O$88,15,0)),0,VLOOKUP($U$326,'TAR FIN'!$A$1:$O$88,15,0))</f>
        <v>150.26</v>
      </c>
      <c r="Y326" s="4"/>
      <c r="Z326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6" s="4">
        <f>('TE BE'!$AB$14+'TE BF'!$AB$14+'TE CVA'!$AB$14)*(1-CUSTOS!$M$37)</f>
        <v>136.62265710865657</v>
      </c>
      <c r="AB326" s="4">
        <f>$K$326*$V$326</f>
        <v>0</v>
      </c>
      <c r="AC326" s="4">
        <f>$M$326*$W$326</f>
        <v>8173.8294399999995</v>
      </c>
      <c r="AD326" s="4">
        <f>$O$326*$X$326</f>
        <v>2783.2659799999997</v>
      </c>
      <c r="AE326" s="4">
        <f>$K$326*$Y$326</f>
        <v>0</v>
      </c>
      <c r="AF326" s="4">
        <f ca="1">$M$326*$Z$326</f>
        <v>9040.3920910081742</v>
      </c>
      <c r="AG326" s="4">
        <f>$O$326*$AA$326</f>
        <v>2530.6614776236456</v>
      </c>
    </row>
    <row r="327" spans="1:33" ht="11.25" customHeight="1" x14ac:dyDescent="0.25">
      <c r="A327" s="3" t="s">
        <v>27</v>
      </c>
      <c r="B327" s="3" t="s">
        <v>22</v>
      </c>
      <c r="C327" s="3" t="s">
        <v>23</v>
      </c>
      <c r="D327" s="3" t="s">
        <v>24</v>
      </c>
      <c r="E327" s="3" t="s">
        <v>32</v>
      </c>
      <c r="F327" s="3" t="s">
        <v>25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0.309</v>
      </c>
      <c r="M327" s="4">
        <v>0.309</v>
      </c>
      <c r="N327" s="4">
        <v>0.309</v>
      </c>
      <c r="O327" s="4">
        <v>0.309</v>
      </c>
      <c r="P327" s="4">
        <v>0</v>
      </c>
      <c r="Q327" s="3" t="s">
        <v>26</v>
      </c>
      <c r="R327" s="3">
        <v>0</v>
      </c>
      <c r="S327" s="4">
        <v>0</v>
      </c>
      <c r="T327" s="4">
        <v>52</v>
      </c>
      <c r="U327" s="4">
        <v>87</v>
      </c>
      <c r="V327" s="4">
        <f>IF(ISERROR(VLOOKUP($S$327,'TAR FIN'!$A$1:$O$88,15,0)),0,VLOOKUP($S$327,'TAR FIN'!$A$1:$O$88,15,0))</f>
        <v>0</v>
      </c>
      <c r="W327" s="4">
        <f>IF(ISERROR(VLOOKUP($T$327,'TAR FIN'!$A$1:$O$88,15,0)),0,VLOOKUP($T$327,'TAR FIN'!$A$1:$O$88,15,0))</f>
        <v>441.28</v>
      </c>
      <c r="X327" s="4">
        <f>IF(ISERROR(VLOOKUP($U$327,'TAR FIN'!$A$1:$O$88,15,0)),0,VLOOKUP($U$327,'TAR FIN'!$A$1:$O$88,15,0))</f>
        <v>150.26</v>
      </c>
      <c r="Y327" s="4"/>
      <c r="Z327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7" s="4">
        <f>('TE BE'!$AB$14+'TE BF'!$AB$14+'TE CVA'!$AB$14)*(1-CUSTOS!$M$37)</f>
        <v>136.62265710865657</v>
      </c>
      <c r="AB327" s="4">
        <f>$K$327*$V$327</f>
        <v>0</v>
      </c>
      <c r="AC327" s="4">
        <f>$M$327*$W$327</f>
        <v>136.35551999999998</v>
      </c>
      <c r="AD327" s="4">
        <f>$O$327*$X$327</f>
        <v>46.430339999999994</v>
      </c>
      <c r="AE327" s="4">
        <f>$K$327*$Y$327</f>
        <v>0</v>
      </c>
      <c r="AF327" s="4">
        <f ca="1">$M$327*$Z$327</f>
        <v>150.81148605093807</v>
      </c>
      <c r="AG327" s="4">
        <f>$O$327*$AA$327</f>
        <v>42.21640104657488</v>
      </c>
    </row>
    <row r="328" spans="1:3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32</v>
      </c>
      <c r="F328" s="3" t="s">
        <v>25</v>
      </c>
      <c r="G328" s="3" t="s">
        <v>25</v>
      </c>
      <c r="H328" s="3" t="s">
        <v>25</v>
      </c>
      <c r="I328" s="6">
        <v>44743</v>
      </c>
      <c r="J328" s="4">
        <v>0</v>
      </c>
      <c r="K328" s="4">
        <v>0</v>
      </c>
      <c r="L328" s="4">
        <v>18.992000000000001</v>
      </c>
      <c r="M328" s="4">
        <v>18.992000000000001</v>
      </c>
      <c r="N328" s="4">
        <v>18.992000000000001</v>
      </c>
      <c r="O328" s="4">
        <v>18.992000000000001</v>
      </c>
      <c r="P328" s="4">
        <v>189</v>
      </c>
      <c r="Q328" s="3" t="s">
        <v>26</v>
      </c>
      <c r="R328" s="3">
        <v>0</v>
      </c>
      <c r="S328" s="4">
        <v>0</v>
      </c>
      <c r="T328" s="4">
        <v>52</v>
      </c>
      <c r="U328" s="4">
        <v>87</v>
      </c>
      <c r="V328" s="4">
        <f>IF(ISERROR(VLOOKUP($S$328,'TAR FIN'!$A$1:$O$88,15,0)),0,VLOOKUP($S$328,'TAR FIN'!$A$1:$O$88,15,0))</f>
        <v>0</v>
      </c>
      <c r="W328" s="4">
        <f>IF(ISERROR(VLOOKUP($T$328,'TAR FIN'!$A$1:$O$88,15,0)),0,VLOOKUP($T$328,'TAR FIN'!$A$1:$O$88,15,0))</f>
        <v>441.28</v>
      </c>
      <c r="X328" s="4">
        <f>IF(ISERROR(VLOOKUP($U$328,'TAR FIN'!$A$1:$O$88,15,0)),0,VLOOKUP($U$328,'TAR FIN'!$A$1:$O$88,15,0))</f>
        <v>150.26</v>
      </c>
      <c r="Y328" s="4"/>
      <c r="Z328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8" s="4">
        <f>('TE BE'!$AB$14+'TE BF'!$AB$14+'TE CVA'!$AB$14)*(1-CUSTOS!$M$37)</f>
        <v>136.62265710865657</v>
      </c>
      <c r="AB328" s="4">
        <f>$K$328*$V$328</f>
        <v>0</v>
      </c>
      <c r="AC328" s="4">
        <f>$M$328*$W$328</f>
        <v>8380.7897599999997</v>
      </c>
      <c r="AD328" s="4">
        <f>$O$328*$X$328</f>
        <v>2853.73792</v>
      </c>
      <c r="AE328" s="4">
        <f>$K$328*$Y$328</f>
        <v>0</v>
      </c>
      <c r="AF328" s="4">
        <f ca="1">$M$328*$Z$328</f>
        <v>9269.2936669236751</v>
      </c>
      <c r="AG328" s="4">
        <f>$O$328*$AA$328</f>
        <v>2594.7375038076057</v>
      </c>
    </row>
    <row r="329" spans="1:33" ht="11.25" customHeight="1" x14ac:dyDescent="0.25">
      <c r="A329" s="3" t="s">
        <v>27</v>
      </c>
      <c r="B329" s="3" t="s">
        <v>22</v>
      </c>
      <c r="C329" s="3" t="s">
        <v>23</v>
      </c>
      <c r="D329" s="3" t="s">
        <v>24</v>
      </c>
      <c r="E329" s="3" t="s">
        <v>32</v>
      </c>
      <c r="F329" s="3" t="s">
        <v>25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0.313</v>
      </c>
      <c r="M329" s="4">
        <v>0.313</v>
      </c>
      <c r="N329" s="4">
        <v>0.313</v>
      </c>
      <c r="O329" s="4">
        <v>0.313</v>
      </c>
      <c r="P329" s="4">
        <v>0</v>
      </c>
      <c r="Q329" s="3" t="s">
        <v>26</v>
      </c>
      <c r="R329" s="3">
        <v>0</v>
      </c>
      <c r="S329" s="4">
        <v>0</v>
      </c>
      <c r="T329" s="4">
        <v>52</v>
      </c>
      <c r="U329" s="4">
        <v>87</v>
      </c>
      <c r="V329" s="4">
        <f>IF(ISERROR(VLOOKUP($S$329,'TAR FIN'!$A$1:$O$88,15,0)),0,VLOOKUP($S$329,'TAR FIN'!$A$1:$O$88,15,0))</f>
        <v>0</v>
      </c>
      <c r="W329" s="4">
        <f>IF(ISERROR(VLOOKUP($T$329,'TAR FIN'!$A$1:$O$88,15,0)),0,VLOOKUP($T$329,'TAR FIN'!$A$1:$O$88,15,0))</f>
        <v>441.28</v>
      </c>
      <c r="X329" s="4">
        <f>IF(ISERROR(VLOOKUP($U$329,'TAR FIN'!$A$1:$O$88,15,0)),0,VLOOKUP($U$329,'TAR FIN'!$A$1:$O$88,15,0))</f>
        <v>150.26</v>
      </c>
      <c r="Y329" s="4"/>
      <c r="Z329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29" s="4">
        <f>('TE BE'!$AB$14+'TE BF'!$AB$14+'TE CVA'!$AB$14)*(1-CUSTOS!$M$37)</f>
        <v>136.62265710865657</v>
      </c>
      <c r="AB329" s="4">
        <f>$K$329*$V$329</f>
        <v>0</v>
      </c>
      <c r="AC329" s="4">
        <f>$M$329*$W$329</f>
        <v>138.12063999999998</v>
      </c>
      <c r="AD329" s="4">
        <f>$O$329*$X$329</f>
        <v>47.031379999999999</v>
      </c>
      <c r="AE329" s="4">
        <f>$K$329*$Y$329</f>
        <v>0</v>
      </c>
      <c r="AF329" s="4">
        <f ca="1">$M$329*$Z$329</f>
        <v>152.76373829755215</v>
      </c>
      <c r="AG329" s="4">
        <f>$O$329*$AA$329</f>
        <v>42.762891675009506</v>
      </c>
    </row>
    <row r="330" spans="1:33" ht="11.25" customHeight="1" x14ac:dyDescent="0.25">
      <c r="A330" s="3" t="s">
        <v>55</v>
      </c>
      <c r="B330" s="3" t="s">
        <v>22</v>
      </c>
      <c r="C330" s="3" t="s">
        <v>23</v>
      </c>
      <c r="D330" s="3" t="s">
        <v>24</v>
      </c>
      <c r="E330" s="3" t="s">
        <v>32</v>
      </c>
      <c r="F330" s="3" t="s">
        <v>25</v>
      </c>
      <c r="G330" s="3" t="s">
        <v>25</v>
      </c>
      <c r="H330" s="3" t="s">
        <v>25</v>
      </c>
      <c r="I330" s="6">
        <v>44774</v>
      </c>
      <c r="J330" s="4">
        <v>0</v>
      </c>
      <c r="K330" s="4">
        <v>0</v>
      </c>
      <c r="L330" s="4">
        <v>18.992000000000001</v>
      </c>
      <c r="M330" s="4">
        <v>18.992000000000001</v>
      </c>
      <c r="N330" s="4">
        <v>18.992000000000001</v>
      </c>
      <c r="O330" s="4">
        <v>18.992000000000001</v>
      </c>
      <c r="P330" s="4">
        <v>189</v>
      </c>
      <c r="Q330" s="3" t="s">
        <v>26</v>
      </c>
      <c r="R330" s="3">
        <v>0</v>
      </c>
      <c r="S330" s="4">
        <v>0</v>
      </c>
      <c r="T330" s="4">
        <v>52</v>
      </c>
      <c r="U330" s="4">
        <v>87</v>
      </c>
      <c r="V330" s="4">
        <f>IF(ISERROR(VLOOKUP($S$330,'TAR FIN'!$A$1:$O$88,15,0)),0,VLOOKUP($S$330,'TAR FIN'!$A$1:$O$88,15,0))</f>
        <v>0</v>
      </c>
      <c r="W330" s="4">
        <f>IF(ISERROR(VLOOKUP($T$330,'TAR FIN'!$A$1:$O$88,15,0)),0,VLOOKUP($T$330,'TAR FIN'!$A$1:$O$88,15,0))</f>
        <v>441.28</v>
      </c>
      <c r="X330" s="4">
        <f>IF(ISERROR(VLOOKUP($U$330,'TAR FIN'!$A$1:$O$88,15,0)),0,VLOOKUP($U$330,'TAR FIN'!$A$1:$O$88,15,0))</f>
        <v>150.26</v>
      </c>
      <c r="Y330" s="4"/>
      <c r="Z330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30" s="4">
        <f>('TE BE'!$AB$14+'TE BF'!$AB$14+'TE CVA'!$AB$14)*(1-CUSTOS!$M$37)</f>
        <v>136.62265710865657</v>
      </c>
      <c r="AB330" s="4">
        <f>$K$330*$V$330</f>
        <v>0</v>
      </c>
      <c r="AC330" s="4">
        <f>$M$330*$W$330</f>
        <v>8380.7897599999997</v>
      </c>
      <c r="AD330" s="4">
        <f>$O$330*$X$330</f>
        <v>2853.73792</v>
      </c>
      <c r="AE330" s="4">
        <f>$K$330*$Y$330</f>
        <v>0</v>
      </c>
      <c r="AF330" s="4">
        <f ca="1">$M$330*$Z$330</f>
        <v>9269.2936669236751</v>
      </c>
      <c r="AG330" s="4">
        <f>$O$330*$AA$330</f>
        <v>2594.7375038076057</v>
      </c>
    </row>
    <row r="331" spans="1:33" ht="11.25" customHeight="1" x14ac:dyDescent="0.25">
      <c r="A331" s="3" t="s">
        <v>55</v>
      </c>
      <c r="B331" s="3" t="s">
        <v>22</v>
      </c>
      <c r="C331" s="3" t="s">
        <v>23</v>
      </c>
      <c r="D331" s="3" t="s">
        <v>24</v>
      </c>
      <c r="E331" s="3" t="s">
        <v>32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0.313</v>
      </c>
      <c r="M331" s="4">
        <v>0.313</v>
      </c>
      <c r="N331" s="4">
        <v>0.313</v>
      </c>
      <c r="O331" s="4">
        <v>0.313</v>
      </c>
      <c r="P331" s="4">
        <v>0</v>
      </c>
      <c r="Q331" s="3" t="s">
        <v>26</v>
      </c>
      <c r="R331" s="3">
        <v>0</v>
      </c>
      <c r="S331" s="4">
        <v>0</v>
      </c>
      <c r="T331" s="4">
        <v>52</v>
      </c>
      <c r="U331" s="4">
        <v>87</v>
      </c>
      <c r="V331" s="4">
        <f>IF(ISERROR(VLOOKUP($S$331,'TAR FIN'!$A$1:$O$88,15,0)),0,VLOOKUP($S$331,'TAR FIN'!$A$1:$O$88,15,0))</f>
        <v>0</v>
      </c>
      <c r="W331" s="4">
        <f>IF(ISERROR(VLOOKUP($T$331,'TAR FIN'!$A$1:$O$88,15,0)),0,VLOOKUP($T$331,'TAR FIN'!$A$1:$O$88,15,0))</f>
        <v>441.28</v>
      </c>
      <c r="X331" s="4">
        <f>IF(ISERROR(VLOOKUP($U$331,'TAR FIN'!$A$1:$O$88,15,0)),0,VLOOKUP($U$331,'TAR FIN'!$A$1:$O$88,15,0))</f>
        <v>150.26</v>
      </c>
      <c r="Y331" s="4"/>
      <c r="Z331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331" s="4">
        <f>('TE BE'!$AB$14+'TE BF'!$AB$14+'TE CVA'!$AB$14)*(1-CUSTOS!$M$37)</f>
        <v>136.62265710865657</v>
      </c>
      <c r="AB331" s="4">
        <f>$K$331*$V$331</f>
        <v>0</v>
      </c>
      <c r="AC331" s="4">
        <f>$M$331*$W$331</f>
        <v>138.12063999999998</v>
      </c>
      <c r="AD331" s="4">
        <f>$O$331*$X$331</f>
        <v>47.031379999999999</v>
      </c>
      <c r="AE331" s="4">
        <f>$K$331*$Y$331</f>
        <v>0</v>
      </c>
      <c r="AF331" s="4">
        <f ca="1">$M$331*$Z$331</f>
        <v>152.76373829755215</v>
      </c>
      <c r="AG331" s="4">
        <f>$O$331*$AA$331</f>
        <v>42.762891675009506</v>
      </c>
    </row>
    <row r="332" spans="1:33" ht="11.25" customHeight="1" x14ac:dyDescent="0.25">
      <c r="A332" s="3" t="s">
        <v>21</v>
      </c>
      <c r="B332" s="3" t="s">
        <v>43</v>
      </c>
      <c r="C332" s="3" t="s">
        <v>23</v>
      </c>
      <c r="D332" s="3" t="s">
        <v>44</v>
      </c>
      <c r="E332" s="3" t="s">
        <v>52</v>
      </c>
      <c r="F332" s="3" t="s">
        <v>53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0.94</v>
      </c>
      <c r="M332" s="4">
        <v>0.94</v>
      </c>
      <c r="N332" s="4">
        <v>0.94</v>
      </c>
      <c r="O332" s="4">
        <v>0.94</v>
      </c>
      <c r="P332" s="4">
        <v>0</v>
      </c>
      <c r="Q332" s="3" t="s">
        <v>26</v>
      </c>
      <c r="R332" s="3">
        <v>0</v>
      </c>
      <c r="S332" s="4">
        <v>0</v>
      </c>
      <c r="T332" s="4">
        <v>55</v>
      </c>
      <c r="U332" s="4">
        <v>20</v>
      </c>
      <c r="V332" s="4">
        <f>IF(ISERROR(VLOOKUP($S$332,'TAR FIN'!$A$1:$O$88,15,0)),0,VLOOKUP($S$332,'TAR FIN'!$A$1:$O$88,15,0))</f>
        <v>0</v>
      </c>
      <c r="W332" s="4">
        <f>IF(ISERROR(VLOOKUP($T$332,'TAR FIN'!$A$1:$O$88,15,0)),0,VLOOKUP($T$332,'TAR FIN'!$A$1:$O$88,15,0))</f>
        <v>441.31</v>
      </c>
      <c r="X332" s="4">
        <f>IF(ISERROR(VLOOKUP($U$332,'TAR FIN'!$A$1:$O$88,15,0)),0,VLOOKUP($U$332,'TAR FIN'!$A$1:$O$88,15,0))</f>
        <v>132.22999999999999</v>
      </c>
      <c r="Y332" s="4"/>
      <c r="Z332" s="4">
        <f ca="1">('TUSD BE'!$AM$33+'TUSD BF'!$AM$33+'TUSD CVA'!$AM$33)*(1-CUSTOS!$M$38)</f>
        <v>554.80001091929842</v>
      </c>
      <c r="AA332" s="4">
        <f>('TE BE'!$AB$23+'TE BF'!$AB$23+'TE CVA'!$AB$23)*(1-CUSTOS!$M$38)</f>
        <v>128.42529768213717</v>
      </c>
      <c r="AB332" s="4">
        <f>$K$332*$V$332</f>
        <v>0</v>
      </c>
      <c r="AC332" s="4">
        <f>$M$332*$W$332</f>
        <v>414.83139999999997</v>
      </c>
      <c r="AD332" s="4">
        <f>$O$332*$X$332</f>
        <v>124.29619999999998</v>
      </c>
      <c r="AE332" s="4">
        <f>$K$332*$Y$332</f>
        <v>0</v>
      </c>
      <c r="AF332" s="4">
        <f ca="1">$M$332*$Z$332</f>
        <v>521.51201026414049</v>
      </c>
      <c r="AG332" s="4">
        <f>$O$332*$AA$332</f>
        <v>120.71977982120893</v>
      </c>
    </row>
    <row r="333" spans="1:33" ht="11.25" customHeight="1" x14ac:dyDescent="0.25">
      <c r="A333" s="3" t="s">
        <v>21</v>
      </c>
      <c r="B333" s="3" t="s">
        <v>43</v>
      </c>
      <c r="C333" s="3" t="s">
        <v>23</v>
      </c>
      <c r="D333" s="3" t="s">
        <v>44</v>
      </c>
      <c r="E333" s="3" t="s">
        <v>52</v>
      </c>
      <c r="F333" s="3" t="s">
        <v>53</v>
      </c>
      <c r="G333" s="3" t="s">
        <v>25</v>
      </c>
      <c r="H333" s="3" t="s">
        <v>25</v>
      </c>
      <c r="I333" s="6">
        <v>44470</v>
      </c>
      <c r="J333" s="4">
        <v>0</v>
      </c>
      <c r="K333" s="4">
        <v>0</v>
      </c>
      <c r="L333" s="4">
        <v>1.0900000000000001</v>
      </c>
      <c r="M333" s="4">
        <v>1.0900000000000001</v>
      </c>
      <c r="N333" s="4">
        <v>1.0900000000000001</v>
      </c>
      <c r="O333" s="4">
        <v>1.0900000000000001</v>
      </c>
      <c r="P333" s="4">
        <v>0</v>
      </c>
      <c r="Q333" s="3" t="s">
        <v>26</v>
      </c>
      <c r="R333" s="3">
        <v>0</v>
      </c>
      <c r="S333" s="4">
        <v>0</v>
      </c>
      <c r="T333" s="4">
        <v>55</v>
      </c>
      <c r="U333" s="4">
        <v>20</v>
      </c>
      <c r="V333" s="4">
        <f>IF(ISERROR(VLOOKUP($S$333,'TAR FIN'!$A$1:$O$88,15,0)),0,VLOOKUP($S$333,'TAR FIN'!$A$1:$O$88,15,0))</f>
        <v>0</v>
      </c>
      <c r="W333" s="4">
        <f>IF(ISERROR(VLOOKUP($T$333,'TAR FIN'!$A$1:$O$88,15,0)),0,VLOOKUP($T$333,'TAR FIN'!$A$1:$O$88,15,0))</f>
        <v>441.31</v>
      </c>
      <c r="X333" s="4">
        <f>IF(ISERROR(VLOOKUP($U$333,'TAR FIN'!$A$1:$O$88,15,0)),0,VLOOKUP($U$333,'TAR FIN'!$A$1:$O$88,15,0))</f>
        <v>132.22999999999999</v>
      </c>
      <c r="Y333" s="4"/>
      <c r="Z333" s="4">
        <f ca="1">('TUSD BE'!$AM$33+'TUSD BF'!$AM$33+'TUSD CVA'!$AM$33)*(1-CUSTOS!$M$38)</f>
        <v>554.80001091929842</v>
      </c>
      <c r="AA333" s="4">
        <f>('TE BE'!$AB$23+'TE BF'!$AB$23+'TE CVA'!$AB$23)*(1-CUSTOS!$M$38)</f>
        <v>128.42529768213717</v>
      </c>
      <c r="AB333" s="4">
        <f>$K$333*$V$333</f>
        <v>0</v>
      </c>
      <c r="AC333" s="4">
        <f>$M$333*$W$333</f>
        <v>481.02790000000005</v>
      </c>
      <c r="AD333" s="4">
        <f>$O$333*$X$333</f>
        <v>144.13069999999999</v>
      </c>
      <c r="AE333" s="4">
        <f>$K$333*$Y$333</f>
        <v>0</v>
      </c>
      <c r="AF333" s="4">
        <f ca="1">$M$333*$Z$333</f>
        <v>604.73201190203531</v>
      </c>
      <c r="AG333" s="4">
        <f>$O$333*$AA$333</f>
        <v>139.98357447352953</v>
      </c>
    </row>
    <row r="334" spans="1:33" ht="11.25" customHeight="1" x14ac:dyDescent="0.25">
      <c r="A334" s="3" t="s">
        <v>21</v>
      </c>
      <c r="B334" s="3" t="s">
        <v>43</v>
      </c>
      <c r="C334" s="3" t="s">
        <v>23</v>
      </c>
      <c r="D334" s="3" t="s">
        <v>44</v>
      </c>
      <c r="E334" s="3" t="s">
        <v>52</v>
      </c>
      <c r="F334" s="3" t="s">
        <v>53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2.355</v>
      </c>
      <c r="M334" s="4">
        <v>2.355</v>
      </c>
      <c r="N334" s="4">
        <v>2.355</v>
      </c>
      <c r="O334" s="4">
        <v>2.355</v>
      </c>
      <c r="P334" s="4">
        <v>0</v>
      </c>
      <c r="Q334" s="3" t="s">
        <v>26</v>
      </c>
      <c r="R334" s="3">
        <v>0</v>
      </c>
      <c r="S334" s="4">
        <v>0</v>
      </c>
      <c r="T334" s="4">
        <v>55</v>
      </c>
      <c r="U334" s="4">
        <v>20</v>
      </c>
      <c r="V334" s="4">
        <f>IF(ISERROR(VLOOKUP($S$334,'TAR FIN'!$A$1:$O$88,15,0)),0,VLOOKUP($S$334,'TAR FIN'!$A$1:$O$88,15,0))</f>
        <v>0</v>
      </c>
      <c r="W334" s="4">
        <f>IF(ISERROR(VLOOKUP($T$334,'TAR FIN'!$A$1:$O$88,15,0)),0,VLOOKUP($T$334,'TAR FIN'!$A$1:$O$88,15,0))</f>
        <v>441.31</v>
      </c>
      <c r="X334" s="4">
        <f>IF(ISERROR(VLOOKUP($U$334,'TAR FIN'!$A$1:$O$88,15,0)),0,VLOOKUP($U$334,'TAR FIN'!$A$1:$O$88,15,0))</f>
        <v>132.22999999999999</v>
      </c>
      <c r="Y334" s="4"/>
      <c r="Z334" s="4">
        <f ca="1">('TUSD BE'!$AM$33+'TUSD BF'!$AM$33+'TUSD CVA'!$AM$33)*(1-CUSTOS!$M$38)</f>
        <v>554.80001091929842</v>
      </c>
      <c r="AA334" s="4">
        <f>('TE BE'!$AB$23+'TE BF'!$AB$23+'TE CVA'!$AB$23)*(1-CUSTOS!$M$38)</f>
        <v>128.42529768213717</v>
      </c>
      <c r="AB334" s="4">
        <f>$K$334*$V$334</f>
        <v>0</v>
      </c>
      <c r="AC334" s="4">
        <f>$M$334*$W$334</f>
        <v>1039.28505</v>
      </c>
      <c r="AD334" s="4">
        <f>$O$334*$X$334</f>
        <v>311.40164999999996</v>
      </c>
      <c r="AE334" s="4">
        <f>$K$334*$Y$334</f>
        <v>0</v>
      </c>
      <c r="AF334" s="4">
        <f ca="1">$M$334*$Z$334</f>
        <v>1306.5540257149478</v>
      </c>
      <c r="AG334" s="4">
        <f>$O$334*$AA$334</f>
        <v>302.44157604143305</v>
      </c>
    </row>
    <row r="335" spans="1:33" ht="11.25" customHeight="1" x14ac:dyDescent="0.25">
      <c r="A335" s="3" t="s">
        <v>21</v>
      </c>
      <c r="B335" s="3" t="s">
        <v>43</v>
      </c>
      <c r="C335" s="3" t="s">
        <v>23</v>
      </c>
      <c r="D335" s="3" t="s">
        <v>44</v>
      </c>
      <c r="E335" s="3" t="s">
        <v>52</v>
      </c>
      <c r="F335" s="3" t="s">
        <v>53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3.3730000000000002</v>
      </c>
      <c r="M335" s="4">
        <v>3.3730000000000002</v>
      </c>
      <c r="N335" s="4">
        <v>3.3730000000000002</v>
      </c>
      <c r="O335" s="4">
        <v>3.3730000000000002</v>
      </c>
      <c r="P335" s="4">
        <v>0</v>
      </c>
      <c r="Q335" s="3" t="s">
        <v>26</v>
      </c>
      <c r="R335" s="3">
        <v>0</v>
      </c>
      <c r="S335" s="4">
        <v>0</v>
      </c>
      <c r="T335" s="4">
        <v>55</v>
      </c>
      <c r="U335" s="4">
        <v>20</v>
      </c>
      <c r="V335" s="4">
        <f>IF(ISERROR(VLOOKUP($S$335,'TAR FIN'!$A$1:$O$88,15,0)),0,VLOOKUP($S$335,'TAR FIN'!$A$1:$O$88,15,0))</f>
        <v>0</v>
      </c>
      <c r="W335" s="4">
        <f>IF(ISERROR(VLOOKUP($T$335,'TAR FIN'!$A$1:$O$88,15,0)),0,VLOOKUP($T$335,'TAR FIN'!$A$1:$O$88,15,0))</f>
        <v>441.31</v>
      </c>
      <c r="X335" s="4">
        <f>IF(ISERROR(VLOOKUP($U$335,'TAR FIN'!$A$1:$O$88,15,0)),0,VLOOKUP($U$335,'TAR FIN'!$A$1:$O$88,15,0))</f>
        <v>132.22999999999999</v>
      </c>
      <c r="Y335" s="4"/>
      <c r="Z335" s="4">
        <f ca="1">('TUSD BE'!$AM$33+'TUSD BF'!$AM$33+'TUSD CVA'!$AM$33)*(1-CUSTOS!$M$38)</f>
        <v>554.80001091929842</v>
      </c>
      <c r="AA335" s="4">
        <f>('TE BE'!$AB$23+'TE BF'!$AB$23+'TE CVA'!$AB$23)*(1-CUSTOS!$M$38)</f>
        <v>128.42529768213717</v>
      </c>
      <c r="AB335" s="4">
        <f>$K$335*$V$335</f>
        <v>0</v>
      </c>
      <c r="AC335" s="4">
        <f>$M$335*$W$335</f>
        <v>1488.53863</v>
      </c>
      <c r="AD335" s="4">
        <f>$O$335*$X$335</f>
        <v>446.01179000000002</v>
      </c>
      <c r="AE335" s="4">
        <f>$K$335*$Y$335</f>
        <v>0</v>
      </c>
      <c r="AF335" s="4">
        <f ca="1">$M$335*$Z$335</f>
        <v>1871.3404368307936</v>
      </c>
      <c r="AG335" s="4">
        <f>$O$335*$AA$335</f>
        <v>433.17852908184869</v>
      </c>
    </row>
    <row r="336" spans="1:33" ht="11.25" customHeight="1" x14ac:dyDescent="0.25">
      <c r="A336" s="3" t="s">
        <v>21</v>
      </c>
      <c r="B336" s="3" t="s">
        <v>43</v>
      </c>
      <c r="C336" s="3" t="s">
        <v>23</v>
      </c>
      <c r="D336" s="3" t="s">
        <v>44</v>
      </c>
      <c r="E336" s="3" t="s">
        <v>52</v>
      </c>
      <c r="F336" s="3" t="s">
        <v>53</v>
      </c>
      <c r="G336" s="3" t="s">
        <v>25</v>
      </c>
      <c r="H336" s="3" t="s">
        <v>25</v>
      </c>
      <c r="I336" s="6">
        <v>44562</v>
      </c>
      <c r="J336" s="4">
        <v>0</v>
      </c>
      <c r="K336" s="4">
        <v>0</v>
      </c>
      <c r="L336" s="4">
        <v>2.536</v>
      </c>
      <c r="M336" s="4">
        <v>2.536</v>
      </c>
      <c r="N336" s="4">
        <v>2.536</v>
      </c>
      <c r="O336" s="4">
        <v>2.536</v>
      </c>
      <c r="P336" s="4">
        <v>0</v>
      </c>
      <c r="Q336" s="3" t="s">
        <v>26</v>
      </c>
      <c r="R336" s="3">
        <v>0</v>
      </c>
      <c r="S336" s="4">
        <v>0</v>
      </c>
      <c r="T336" s="4">
        <v>55</v>
      </c>
      <c r="U336" s="4">
        <v>20</v>
      </c>
      <c r="V336" s="4">
        <f>IF(ISERROR(VLOOKUP($S$336,'TAR FIN'!$A$1:$O$88,15,0)),0,VLOOKUP($S$336,'TAR FIN'!$A$1:$O$88,15,0))</f>
        <v>0</v>
      </c>
      <c r="W336" s="4">
        <f>IF(ISERROR(VLOOKUP($T$336,'TAR FIN'!$A$1:$O$88,15,0)),0,VLOOKUP($T$336,'TAR FIN'!$A$1:$O$88,15,0))</f>
        <v>441.31</v>
      </c>
      <c r="X336" s="4">
        <f>IF(ISERROR(VLOOKUP($U$336,'TAR FIN'!$A$1:$O$88,15,0)),0,VLOOKUP($U$336,'TAR FIN'!$A$1:$O$88,15,0))</f>
        <v>132.22999999999999</v>
      </c>
      <c r="Y336" s="4"/>
      <c r="Z336" s="4">
        <f ca="1">('TUSD BE'!$AM$33+'TUSD BF'!$AM$33+'TUSD CVA'!$AM$33)*(1-CUSTOS!$M$38)</f>
        <v>554.80001091929842</v>
      </c>
      <c r="AA336" s="4">
        <f>('TE BE'!$AB$23+'TE BF'!$AB$23+'TE CVA'!$AB$23)*(1-CUSTOS!$M$38)</f>
        <v>128.42529768213717</v>
      </c>
      <c r="AB336" s="4">
        <f>$K$336*$V$336</f>
        <v>0</v>
      </c>
      <c r="AC336" s="4">
        <f>$M$336*$W$336</f>
        <v>1119.1621600000001</v>
      </c>
      <c r="AD336" s="4">
        <f>$O$336*$X$336</f>
        <v>335.33527999999995</v>
      </c>
      <c r="AE336" s="4">
        <f>$K$336*$Y$336</f>
        <v>0</v>
      </c>
      <c r="AF336" s="4">
        <f ca="1">$M$336*$Z$336</f>
        <v>1406.9728276913409</v>
      </c>
      <c r="AG336" s="4">
        <f>$O$336*$AA$336</f>
        <v>325.68655492189987</v>
      </c>
    </row>
    <row r="337" spans="1:33" ht="11.25" customHeight="1" x14ac:dyDescent="0.25">
      <c r="A337" s="3" t="s">
        <v>21</v>
      </c>
      <c r="B337" s="3" t="s">
        <v>43</v>
      </c>
      <c r="C337" s="3" t="s">
        <v>23</v>
      </c>
      <c r="D337" s="3" t="s">
        <v>44</v>
      </c>
      <c r="E337" s="3" t="s">
        <v>52</v>
      </c>
      <c r="F337" s="3" t="s">
        <v>53</v>
      </c>
      <c r="G337" s="3" t="s">
        <v>25</v>
      </c>
      <c r="H337" s="3" t="s">
        <v>25</v>
      </c>
      <c r="I337" s="6">
        <v>44593</v>
      </c>
      <c r="J337" s="4">
        <v>0</v>
      </c>
      <c r="K337" s="4">
        <v>0</v>
      </c>
      <c r="L337" s="4">
        <v>3.2069999999999999</v>
      </c>
      <c r="M337" s="4">
        <v>3.2069999999999999</v>
      </c>
      <c r="N337" s="4">
        <v>3.2069999999999999</v>
      </c>
      <c r="O337" s="4">
        <v>3.2069999999999999</v>
      </c>
      <c r="P337" s="4">
        <v>0</v>
      </c>
      <c r="Q337" s="3" t="s">
        <v>26</v>
      </c>
      <c r="R337" s="3">
        <v>0</v>
      </c>
      <c r="S337" s="4">
        <v>0</v>
      </c>
      <c r="T337" s="4">
        <v>55</v>
      </c>
      <c r="U337" s="4">
        <v>20</v>
      </c>
      <c r="V337" s="4">
        <f>IF(ISERROR(VLOOKUP($S$337,'TAR FIN'!$A$1:$O$88,15,0)),0,VLOOKUP($S$337,'TAR FIN'!$A$1:$O$88,15,0))</f>
        <v>0</v>
      </c>
      <c r="W337" s="4">
        <f>IF(ISERROR(VLOOKUP($T$337,'TAR FIN'!$A$1:$O$88,15,0)),0,VLOOKUP($T$337,'TAR FIN'!$A$1:$O$88,15,0))</f>
        <v>441.31</v>
      </c>
      <c r="X337" s="4">
        <f>IF(ISERROR(VLOOKUP($U$337,'TAR FIN'!$A$1:$O$88,15,0)),0,VLOOKUP($U$337,'TAR FIN'!$A$1:$O$88,15,0))</f>
        <v>132.22999999999999</v>
      </c>
      <c r="Y337" s="4"/>
      <c r="Z337" s="4">
        <f ca="1">('TUSD BE'!$AM$33+'TUSD BF'!$AM$33+'TUSD CVA'!$AM$33)*(1-CUSTOS!$M$38)</f>
        <v>554.80001091929842</v>
      </c>
      <c r="AA337" s="4">
        <f>('TE BE'!$AB$23+'TE BF'!$AB$23+'TE CVA'!$AB$23)*(1-CUSTOS!$M$38)</f>
        <v>128.42529768213717</v>
      </c>
      <c r="AB337" s="4">
        <f>$K$337*$V$337</f>
        <v>0</v>
      </c>
      <c r="AC337" s="4">
        <f>$M$337*$W$337</f>
        <v>1415.28117</v>
      </c>
      <c r="AD337" s="4">
        <f>$O$337*$X$337</f>
        <v>424.06160999999997</v>
      </c>
      <c r="AE337" s="4">
        <f>$K$337*$Y$337</f>
        <v>0</v>
      </c>
      <c r="AF337" s="4">
        <f ca="1">$M$337*$Z$337</f>
        <v>1779.2436350181899</v>
      </c>
      <c r="AG337" s="4">
        <f>$O$337*$AA$337</f>
        <v>411.85992966661388</v>
      </c>
    </row>
    <row r="338" spans="1:33" ht="11.25" customHeight="1" x14ac:dyDescent="0.25">
      <c r="A338" s="3" t="s">
        <v>21</v>
      </c>
      <c r="B338" s="3" t="s">
        <v>43</v>
      </c>
      <c r="C338" s="3" t="s">
        <v>23</v>
      </c>
      <c r="D338" s="3" t="s">
        <v>44</v>
      </c>
      <c r="E338" s="3" t="s">
        <v>52</v>
      </c>
      <c r="F338" s="3" t="s">
        <v>53</v>
      </c>
      <c r="G338" s="3" t="s">
        <v>25</v>
      </c>
      <c r="H338" s="3" t="s">
        <v>25</v>
      </c>
      <c r="I338" s="6">
        <v>44621</v>
      </c>
      <c r="J338" s="4">
        <v>0</v>
      </c>
      <c r="K338" s="4">
        <v>0</v>
      </c>
      <c r="L338" s="4">
        <v>8.2249999999999996</v>
      </c>
      <c r="M338" s="4">
        <v>8.2249999999999996</v>
      </c>
      <c r="N338" s="4">
        <v>8.2249999999999996</v>
      </c>
      <c r="O338" s="4">
        <v>8.2249999999999996</v>
      </c>
      <c r="P338" s="4">
        <v>0</v>
      </c>
      <c r="Q338" s="3" t="s">
        <v>26</v>
      </c>
      <c r="R338" s="3">
        <v>0</v>
      </c>
      <c r="S338" s="4">
        <v>0</v>
      </c>
      <c r="T338" s="4">
        <v>55</v>
      </c>
      <c r="U338" s="4">
        <v>20</v>
      </c>
      <c r="V338" s="4">
        <f>IF(ISERROR(VLOOKUP($S$338,'TAR FIN'!$A$1:$O$88,15,0)),0,VLOOKUP($S$338,'TAR FIN'!$A$1:$O$88,15,0))</f>
        <v>0</v>
      </c>
      <c r="W338" s="4">
        <f>IF(ISERROR(VLOOKUP($T$338,'TAR FIN'!$A$1:$O$88,15,0)),0,VLOOKUP($T$338,'TAR FIN'!$A$1:$O$88,15,0))</f>
        <v>441.31</v>
      </c>
      <c r="X338" s="4">
        <f>IF(ISERROR(VLOOKUP($U$338,'TAR FIN'!$A$1:$O$88,15,0)),0,VLOOKUP($U$338,'TAR FIN'!$A$1:$O$88,15,0))</f>
        <v>132.22999999999999</v>
      </c>
      <c r="Y338" s="4"/>
      <c r="Z338" s="4">
        <f ca="1">('TUSD BE'!$AM$33+'TUSD BF'!$AM$33+'TUSD CVA'!$AM$33)*(1-CUSTOS!$M$38)</f>
        <v>554.80001091929842</v>
      </c>
      <c r="AA338" s="4">
        <f>('TE BE'!$AB$23+'TE BF'!$AB$23+'TE CVA'!$AB$23)*(1-CUSTOS!$M$38)</f>
        <v>128.42529768213717</v>
      </c>
      <c r="AB338" s="4">
        <f>$K$338*$V$338</f>
        <v>0</v>
      </c>
      <c r="AC338" s="4">
        <f>$M$338*$W$338</f>
        <v>3629.77475</v>
      </c>
      <c r="AD338" s="4">
        <f>$O$338*$X$338</f>
        <v>1087.5917499999998</v>
      </c>
      <c r="AE338" s="4">
        <f>$K$338*$Y$338</f>
        <v>0</v>
      </c>
      <c r="AF338" s="4">
        <f ca="1">$M$338*$Z$338</f>
        <v>4563.2300898112289</v>
      </c>
      <c r="AG338" s="4">
        <f>$O$338*$AA$338</f>
        <v>1056.2980734355781</v>
      </c>
    </row>
    <row r="339" spans="1:33" ht="11.25" customHeight="1" x14ac:dyDescent="0.25">
      <c r="A339" s="3" t="s">
        <v>21</v>
      </c>
      <c r="B339" s="3" t="s">
        <v>43</v>
      </c>
      <c r="C339" s="3" t="s">
        <v>23</v>
      </c>
      <c r="D339" s="3" t="s">
        <v>44</v>
      </c>
      <c r="E339" s="3" t="s">
        <v>52</v>
      </c>
      <c r="F339" s="3" t="s">
        <v>53</v>
      </c>
      <c r="G339" s="3" t="s">
        <v>25</v>
      </c>
      <c r="H339" s="3" t="s">
        <v>25</v>
      </c>
      <c r="I339" s="6">
        <v>44652</v>
      </c>
      <c r="J339" s="4">
        <v>0</v>
      </c>
      <c r="K339" s="4">
        <v>0</v>
      </c>
      <c r="L339" s="4">
        <v>2.2810000000000001</v>
      </c>
      <c r="M339" s="4">
        <v>2.2810000000000001</v>
      </c>
      <c r="N339" s="4">
        <v>2.2810000000000001</v>
      </c>
      <c r="O339" s="4">
        <v>2.2810000000000001</v>
      </c>
      <c r="P339" s="4">
        <v>0</v>
      </c>
      <c r="Q339" s="3" t="s">
        <v>26</v>
      </c>
      <c r="R339" s="3">
        <v>0</v>
      </c>
      <c r="S339" s="4">
        <v>0</v>
      </c>
      <c r="T339" s="4">
        <v>55</v>
      </c>
      <c r="U339" s="4">
        <v>20</v>
      </c>
      <c r="V339" s="4">
        <f>IF(ISERROR(VLOOKUP($S$339,'TAR FIN'!$A$1:$O$88,15,0)),0,VLOOKUP($S$339,'TAR FIN'!$A$1:$O$88,15,0))</f>
        <v>0</v>
      </c>
      <c r="W339" s="4">
        <f>IF(ISERROR(VLOOKUP($T$339,'TAR FIN'!$A$1:$O$88,15,0)),0,VLOOKUP($T$339,'TAR FIN'!$A$1:$O$88,15,0))</f>
        <v>441.31</v>
      </c>
      <c r="X339" s="4">
        <f>IF(ISERROR(VLOOKUP($U$339,'TAR FIN'!$A$1:$O$88,15,0)),0,VLOOKUP($U$339,'TAR FIN'!$A$1:$O$88,15,0))</f>
        <v>132.22999999999999</v>
      </c>
      <c r="Y339" s="4"/>
      <c r="Z339" s="4">
        <f ca="1">('TUSD BE'!$AM$33+'TUSD BF'!$AM$33+'TUSD CVA'!$AM$33)*(1-CUSTOS!$M$38)</f>
        <v>554.80001091929842</v>
      </c>
      <c r="AA339" s="4">
        <f>('TE BE'!$AB$23+'TE BF'!$AB$23+'TE CVA'!$AB$23)*(1-CUSTOS!$M$38)</f>
        <v>128.42529768213717</v>
      </c>
      <c r="AB339" s="4">
        <f>$K$339*$V$339</f>
        <v>0</v>
      </c>
      <c r="AC339" s="4">
        <f>$M$339*$W$339</f>
        <v>1006.6281100000001</v>
      </c>
      <c r="AD339" s="4">
        <f>$O$339*$X$339</f>
        <v>301.61662999999999</v>
      </c>
      <c r="AE339" s="4">
        <f>$K$339*$Y$339</f>
        <v>0</v>
      </c>
      <c r="AF339" s="4">
        <f ca="1">$M$339*$Z$339</f>
        <v>1265.4988249069197</v>
      </c>
      <c r="AG339" s="4">
        <f>$O$339*$AA$339</f>
        <v>292.93810401295491</v>
      </c>
    </row>
    <row r="340" spans="1:33" ht="11.25" customHeight="1" x14ac:dyDescent="0.25">
      <c r="A340" s="3" t="s">
        <v>27</v>
      </c>
      <c r="B340" s="3" t="s">
        <v>43</v>
      </c>
      <c r="C340" s="3" t="s">
        <v>23</v>
      </c>
      <c r="D340" s="3" t="s">
        <v>44</v>
      </c>
      <c r="E340" s="3" t="s">
        <v>52</v>
      </c>
      <c r="F340" s="3" t="s">
        <v>53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-5.9180000000000001</v>
      </c>
      <c r="M340" s="4">
        <v>-5.9180000000000001</v>
      </c>
      <c r="N340" s="4">
        <v>-5.9180000000000001</v>
      </c>
      <c r="O340" s="4">
        <v>-5.9180000000000001</v>
      </c>
      <c r="P340" s="4">
        <v>0</v>
      </c>
      <c r="Q340" s="3" t="s">
        <v>26</v>
      </c>
      <c r="R340" s="3">
        <v>0</v>
      </c>
      <c r="S340" s="4">
        <v>0</v>
      </c>
      <c r="T340" s="4">
        <v>55</v>
      </c>
      <c r="U340" s="4">
        <v>20</v>
      </c>
      <c r="V340" s="4">
        <f>IF(ISERROR(VLOOKUP($S$340,'TAR FIN'!$A$1:$O$88,15,0)),0,VLOOKUP($S$340,'TAR FIN'!$A$1:$O$88,15,0))</f>
        <v>0</v>
      </c>
      <c r="W340" s="4">
        <f>IF(ISERROR(VLOOKUP($T$340,'TAR FIN'!$A$1:$O$88,15,0)),0,VLOOKUP($T$340,'TAR FIN'!$A$1:$O$88,15,0))</f>
        <v>441.31</v>
      </c>
      <c r="X340" s="4">
        <f>IF(ISERROR(VLOOKUP($U$340,'TAR FIN'!$A$1:$O$88,15,0)),0,VLOOKUP($U$340,'TAR FIN'!$A$1:$O$88,15,0))</f>
        <v>132.22999999999999</v>
      </c>
      <c r="Y340" s="4"/>
      <c r="Z340" s="4">
        <f ca="1">('TUSD BE'!$AM$33+'TUSD BF'!$AM$33+'TUSD CVA'!$AM$33)*(1-CUSTOS!$M$38)</f>
        <v>554.80001091929842</v>
      </c>
      <c r="AA340" s="4">
        <f>('TE BE'!$AB$23+'TE BF'!$AB$23+'TE CVA'!$AB$23)*(1-CUSTOS!$M$38)</f>
        <v>128.42529768213717</v>
      </c>
      <c r="AB340" s="4">
        <f>$K$340*$V$340</f>
        <v>0</v>
      </c>
      <c r="AC340" s="4">
        <f>$M$340*$W$340</f>
        <v>-2611.6725799999999</v>
      </c>
      <c r="AD340" s="4">
        <f>$O$340*$X$340</f>
        <v>-782.53713999999991</v>
      </c>
      <c r="AE340" s="4">
        <f>$K$340*$Y$340</f>
        <v>0</v>
      </c>
      <c r="AF340" s="4">
        <f ca="1">$M$340*$Z$340</f>
        <v>-3283.306464620408</v>
      </c>
      <c r="AG340" s="4">
        <f>$O$340*$AA$340</f>
        <v>-760.0209116828878</v>
      </c>
    </row>
    <row r="341" spans="1:33" ht="11.25" customHeight="1" x14ac:dyDescent="0.25">
      <c r="A341" s="3" t="s">
        <v>21</v>
      </c>
      <c r="B341" s="3" t="s">
        <v>43</v>
      </c>
      <c r="C341" s="3" t="s">
        <v>23</v>
      </c>
      <c r="D341" s="3" t="s">
        <v>44</v>
      </c>
      <c r="E341" s="3" t="s">
        <v>52</v>
      </c>
      <c r="F341" s="3" t="s">
        <v>53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1.6259999999999999</v>
      </c>
      <c r="M341" s="4">
        <v>1.6259999999999999</v>
      </c>
      <c r="N341" s="4">
        <v>1.6259999999999999</v>
      </c>
      <c r="O341" s="4">
        <v>1.6259999999999999</v>
      </c>
      <c r="P341" s="4">
        <v>0</v>
      </c>
      <c r="Q341" s="3" t="s">
        <v>26</v>
      </c>
      <c r="R341" s="3">
        <v>0</v>
      </c>
      <c r="S341" s="4">
        <v>0</v>
      </c>
      <c r="T341" s="4">
        <v>55</v>
      </c>
      <c r="U341" s="4">
        <v>20</v>
      </c>
      <c r="V341" s="4">
        <f>IF(ISERROR(VLOOKUP($S$341,'TAR FIN'!$A$1:$O$88,15,0)),0,VLOOKUP($S$341,'TAR FIN'!$A$1:$O$88,15,0))</f>
        <v>0</v>
      </c>
      <c r="W341" s="4">
        <f>IF(ISERROR(VLOOKUP($T$341,'TAR FIN'!$A$1:$O$88,15,0)),0,VLOOKUP($T$341,'TAR FIN'!$A$1:$O$88,15,0))</f>
        <v>441.31</v>
      </c>
      <c r="X341" s="4">
        <f>IF(ISERROR(VLOOKUP($U$341,'TAR FIN'!$A$1:$O$88,15,0)),0,VLOOKUP($U$341,'TAR FIN'!$A$1:$O$88,15,0))</f>
        <v>132.22999999999999</v>
      </c>
      <c r="Y341" s="4"/>
      <c r="Z341" s="4">
        <f ca="1">('TUSD BE'!$AM$33+'TUSD BF'!$AM$33+'TUSD CVA'!$AM$33)*(1-CUSTOS!$M$38)</f>
        <v>554.80001091929842</v>
      </c>
      <c r="AA341" s="4">
        <f>('TE BE'!$AB$23+'TE BF'!$AB$23+'TE CVA'!$AB$23)*(1-CUSTOS!$M$38)</f>
        <v>128.42529768213717</v>
      </c>
      <c r="AB341" s="4">
        <f>$K$341*$V$341</f>
        <v>0</v>
      </c>
      <c r="AC341" s="4">
        <f>$M$341*$W$341</f>
        <v>717.5700599999999</v>
      </c>
      <c r="AD341" s="4">
        <f>$O$341*$X$341</f>
        <v>215.00597999999997</v>
      </c>
      <c r="AE341" s="4">
        <f>$K$341*$Y$341</f>
        <v>0</v>
      </c>
      <c r="AF341" s="4">
        <f ca="1">$M$341*$Z$341</f>
        <v>902.10481775477922</v>
      </c>
      <c r="AG341" s="4">
        <f>$O$341*$AA$341</f>
        <v>208.81953403115503</v>
      </c>
    </row>
    <row r="342" spans="1:33" ht="11.25" customHeight="1" x14ac:dyDescent="0.25">
      <c r="A342" s="3" t="s">
        <v>21</v>
      </c>
      <c r="B342" s="3" t="s">
        <v>43</v>
      </c>
      <c r="C342" s="3" t="s">
        <v>23</v>
      </c>
      <c r="D342" s="3" t="s">
        <v>44</v>
      </c>
      <c r="E342" s="3" t="s">
        <v>52</v>
      </c>
      <c r="F342" s="3" t="s">
        <v>53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1.764</v>
      </c>
      <c r="M342" s="4">
        <v>1.764</v>
      </c>
      <c r="N342" s="4">
        <v>1.764</v>
      </c>
      <c r="O342" s="4">
        <v>1.764</v>
      </c>
      <c r="P342" s="4">
        <v>0</v>
      </c>
      <c r="Q342" s="3" t="s">
        <v>26</v>
      </c>
      <c r="R342" s="3">
        <v>0</v>
      </c>
      <c r="S342" s="4">
        <v>0</v>
      </c>
      <c r="T342" s="4">
        <v>55</v>
      </c>
      <c r="U342" s="4">
        <v>20</v>
      </c>
      <c r="V342" s="4">
        <f>IF(ISERROR(VLOOKUP($S$342,'TAR FIN'!$A$1:$O$88,15,0)),0,VLOOKUP($S$342,'TAR FIN'!$A$1:$O$88,15,0))</f>
        <v>0</v>
      </c>
      <c r="W342" s="4">
        <f>IF(ISERROR(VLOOKUP($T$342,'TAR FIN'!$A$1:$O$88,15,0)),0,VLOOKUP($T$342,'TAR FIN'!$A$1:$O$88,15,0))</f>
        <v>441.31</v>
      </c>
      <c r="X342" s="4">
        <f>IF(ISERROR(VLOOKUP($U$342,'TAR FIN'!$A$1:$O$88,15,0)),0,VLOOKUP($U$342,'TAR FIN'!$A$1:$O$88,15,0))</f>
        <v>132.22999999999999</v>
      </c>
      <c r="Y342" s="4"/>
      <c r="Z342" s="4">
        <f ca="1">('TUSD BE'!$AM$33+'TUSD BF'!$AM$33+'TUSD CVA'!$AM$33)*(1-CUSTOS!$M$38)</f>
        <v>554.80001091929842</v>
      </c>
      <c r="AA342" s="4">
        <f>('TE BE'!$AB$23+'TE BF'!$AB$23+'TE CVA'!$AB$23)*(1-CUSTOS!$M$38)</f>
        <v>128.42529768213717</v>
      </c>
      <c r="AB342" s="4">
        <f>$K$342*$V$342</f>
        <v>0</v>
      </c>
      <c r="AC342" s="4">
        <f>$M$342*$W$342</f>
        <v>778.47083999999995</v>
      </c>
      <c r="AD342" s="4">
        <f>$O$342*$X$342</f>
        <v>233.25371999999999</v>
      </c>
      <c r="AE342" s="4">
        <f>$K$342*$Y$342</f>
        <v>0</v>
      </c>
      <c r="AF342" s="4">
        <f ca="1">$M$342*$Z$342</f>
        <v>978.66721926164246</v>
      </c>
      <c r="AG342" s="4">
        <f>$O$342*$AA$342</f>
        <v>226.54222511128998</v>
      </c>
    </row>
    <row r="343" spans="1:33" ht="11.25" customHeight="1" x14ac:dyDescent="0.25">
      <c r="A343" s="3" t="s">
        <v>21</v>
      </c>
      <c r="B343" s="3" t="s">
        <v>43</v>
      </c>
      <c r="C343" s="3" t="s">
        <v>23</v>
      </c>
      <c r="D343" s="3" t="s">
        <v>44</v>
      </c>
      <c r="E343" s="3" t="s">
        <v>52</v>
      </c>
      <c r="F343" s="3" t="s">
        <v>53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1.83</v>
      </c>
      <c r="M343" s="4">
        <v>1.83</v>
      </c>
      <c r="N343" s="4">
        <v>1.83</v>
      </c>
      <c r="O343" s="4">
        <v>1.83</v>
      </c>
      <c r="P343" s="4">
        <v>0</v>
      </c>
      <c r="Q343" s="3" t="s">
        <v>26</v>
      </c>
      <c r="R343" s="3">
        <v>0</v>
      </c>
      <c r="S343" s="4">
        <v>0</v>
      </c>
      <c r="T343" s="4">
        <v>55</v>
      </c>
      <c r="U343" s="4">
        <v>20</v>
      </c>
      <c r="V343" s="4">
        <f>IF(ISERROR(VLOOKUP($S$343,'TAR FIN'!$A$1:$O$88,15,0)),0,VLOOKUP($S$343,'TAR FIN'!$A$1:$O$88,15,0))</f>
        <v>0</v>
      </c>
      <c r="W343" s="4">
        <f>IF(ISERROR(VLOOKUP($T$343,'TAR FIN'!$A$1:$O$88,15,0)),0,VLOOKUP($T$343,'TAR FIN'!$A$1:$O$88,15,0))</f>
        <v>441.31</v>
      </c>
      <c r="X343" s="4">
        <f>IF(ISERROR(VLOOKUP($U$343,'TAR FIN'!$A$1:$O$88,15,0)),0,VLOOKUP($U$343,'TAR FIN'!$A$1:$O$88,15,0))</f>
        <v>132.22999999999999</v>
      </c>
      <c r="Y343" s="4"/>
      <c r="Z343" s="4">
        <f ca="1">('TUSD BE'!$AM$33+'TUSD BF'!$AM$33+'TUSD CVA'!$AM$33)*(1-CUSTOS!$M$38)</f>
        <v>554.80001091929842</v>
      </c>
      <c r="AA343" s="4">
        <f>('TE BE'!$AB$23+'TE BF'!$AB$23+'TE CVA'!$AB$23)*(1-CUSTOS!$M$38)</f>
        <v>128.42529768213717</v>
      </c>
      <c r="AB343" s="4">
        <f>$K$343*$V$343</f>
        <v>0</v>
      </c>
      <c r="AC343" s="4">
        <f>$M$343*$W$343</f>
        <v>807.59730000000002</v>
      </c>
      <c r="AD343" s="4">
        <f>$O$343*$X$343</f>
        <v>241.98089999999999</v>
      </c>
      <c r="AE343" s="4">
        <f>$K$343*$Y$343</f>
        <v>0</v>
      </c>
      <c r="AF343" s="4">
        <f ca="1">$M$343*$Z$343</f>
        <v>1015.2840199823162</v>
      </c>
      <c r="AG343" s="4">
        <f>$O$343*$AA$343</f>
        <v>235.01829475831104</v>
      </c>
    </row>
    <row r="344" spans="1:33" ht="11.25" customHeight="1" x14ac:dyDescent="0.25">
      <c r="A344" s="3" t="s">
        <v>55</v>
      </c>
      <c r="B344" s="3" t="s">
        <v>43</v>
      </c>
      <c r="C344" s="3" t="s">
        <v>23</v>
      </c>
      <c r="D344" s="3" t="s">
        <v>44</v>
      </c>
      <c r="E344" s="3" t="s">
        <v>52</v>
      </c>
      <c r="F344" s="3" t="s">
        <v>53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1.83</v>
      </c>
      <c r="M344" s="4">
        <v>1.83</v>
      </c>
      <c r="N344" s="4">
        <v>1.83</v>
      </c>
      <c r="O344" s="4">
        <v>1.83</v>
      </c>
      <c r="P344" s="4">
        <v>0</v>
      </c>
      <c r="Q344" s="3" t="s">
        <v>26</v>
      </c>
      <c r="R344" s="3">
        <v>0</v>
      </c>
      <c r="S344" s="4">
        <v>0</v>
      </c>
      <c r="T344" s="4">
        <v>55</v>
      </c>
      <c r="U344" s="4">
        <v>20</v>
      </c>
      <c r="V344" s="4">
        <f>IF(ISERROR(VLOOKUP($S$344,'TAR FIN'!$A$1:$O$88,15,0)),0,VLOOKUP($S$344,'TAR FIN'!$A$1:$O$88,15,0))</f>
        <v>0</v>
      </c>
      <c r="W344" s="4">
        <f>IF(ISERROR(VLOOKUP($T$344,'TAR FIN'!$A$1:$O$88,15,0)),0,VLOOKUP($T$344,'TAR FIN'!$A$1:$O$88,15,0))</f>
        <v>441.31</v>
      </c>
      <c r="X344" s="4">
        <f>IF(ISERROR(VLOOKUP($U$344,'TAR FIN'!$A$1:$O$88,15,0)),0,VLOOKUP($U$344,'TAR FIN'!$A$1:$O$88,15,0))</f>
        <v>132.22999999999999</v>
      </c>
      <c r="Y344" s="4"/>
      <c r="Z344" s="4">
        <f ca="1">('TUSD BE'!$AM$33+'TUSD BF'!$AM$33+'TUSD CVA'!$AM$33)*(1-CUSTOS!$M$38)</f>
        <v>554.80001091929842</v>
      </c>
      <c r="AA344" s="4">
        <f>('TE BE'!$AB$23+'TE BF'!$AB$23+'TE CVA'!$AB$23)*(1-CUSTOS!$M$38)</f>
        <v>128.42529768213717</v>
      </c>
      <c r="AB344" s="4">
        <f>$K$344*$V$344</f>
        <v>0</v>
      </c>
      <c r="AC344" s="4">
        <f>$M$344*$W$344</f>
        <v>807.59730000000002</v>
      </c>
      <c r="AD344" s="4">
        <f>$O$344*$X$344</f>
        <v>241.98089999999999</v>
      </c>
      <c r="AE344" s="4">
        <f>$K$344*$Y$344</f>
        <v>0</v>
      </c>
      <c r="AF344" s="4">
        <f ca="1">$M$344*$Z$344</f>
        <v>1015.2840199823162</v>
      </c>
      <c r="AG344" s="4">
        <f>$O$344*$AA$344</f>
        <v>235.01829475831104</v>
      </c>
    </row>
    <row r="345" spans="1:3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52</v>
      </c>
      <c r="F345" s="3" t="s">
        <v>54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0.66600000000000004</v>
      </c>
      <c r="M345" s="4">
        <v>0.26640000000000003</v>
      </c>
      <c r="N345" s="4">
        <v>0.66600000000000004</v>
      </c>
      <c r="O345" s="4">
        <v>0.26640000000000003</v>
      </c>
      <c r="P345" s="4">
        <v>0</v>
      </c>
      <c r="Q345" s="3" t="s">
        <v>26</v>
      </c>
      <c r="R345" s="3">
        <v>0</v>
      </c>
      <c r="S345" s="4">
        <v>0</v>
      </c>
      <c r="T345" s="4">
        <v>55</v>
      </c>
      <c r="U345" s="4">
        <v>20</v>
      </c>
      <c r="V345" s="4">
        <f>IF(ISERROR(VLOOKUP($S$345,'TAR FIN'!$A$1:$O$88,15,0)),0,VLOOKUP($S$345,'TAR FIN'!$A$1:$O$88,15,0))</f>
        <v>0</v>
      </c>
      <c r="W345" s="4">
        <f>IF(ISERROR(VLOOKUP($T$345,'TAR FIN'!$A$1:$O$88,15,0)),0,VLOOKUP($T$345,'TAR FIN'!$A$1:$O$88,15,0))</f>
        <v>441.31</v>
      </c>
      <c r="X345" s="4">
        <f>IF(ISERROR(VLOOKUP($U$345,'TAR FIN'!$A$1:$O$88,15,0)),0,VLOOKUP($U$345,'TAR FIN'!$A$1:$O$88,15,0))</f>
        <v>132.22999999999999</v>
      </c>
      <c r="Y345" s="4"/>
      <c r="Z345" s="4">
        <f ca="1">('TUSD BE'!$AM$33+'TUSD BF'!$AM$33+'TUSD CVA'!$AM$33)*(1-CUSTOS!$M$38)</f>
        <v>554.80001091929842</v>
      </c>
      <c r="AA345" s="4">
        <f>('TE BE'!$AB$23+'TE BF'!$AB$23+'TE CVA'!$AB$23)*(1-CUSTOS!$M$38)</f>
        <v>128.42529768213717</v>
      </c>
      <c r="AB345" s="4">
        <f>$K$345*$V$345</f>
        <v>0</v>
      </c>
      <c r="AC345" s="4">
        <f>$M$345*$W$345</f>
        <v>117.56498400000001</v>
      </c>
      <c r="AD345" s="4">
        <f>$O$345*$X$345</f>
        <v>35.226072000000002</v>
      </c>
      <c r="AE345" s="4">
        <f>$K$345*$Y$345</f>
        <v>0</v>
      </c>
      <c r="AF345" s="4">
        <f ca="1">$M$345*$Z$345</f>
        <v>147.79872290890111</v>
      </c>
      <c r="AG345" s="4">
        <f>$O$345*$AA$345</f>
        <v>34.212499302521344</v>
      </c>
    </row>
    <row r="346" spans="1:33" ht="11.25" customHeight="1" x14ac:dyDescent="0.25">
      <c r="A346" s="3" t="s">
        <v>21</v>
      </c>
      <c r="B346" s="3" t="s">
        <v>43</v>
      </c>
      <c r="C346" s="3" t="s">
        <v>23</v>
      </c>
      <c r="D346" s="3" t="s">
        <v>44</v>
      </c>
      <c r="E346" s="3" t="s">
        <v>52</v>
      </c>
      <c r="F346" s="3" t="s">
        <v>54</v>
      </c>
      <c r="G346" s="3" t="s">
        <v>25</v>
      </c>
      <c r="H346" s="3" t="s">
        <v>25</v>
      </c>
      <c r="I346" s="6">
        <v>44470</v>
      </c>
      <c r="J346" s="4">
        <v>0</v>
      </c>
      <c r="K346" s="4">
        <v>0</v>
      </c>
      <c r="L346" s="4">
        <v>0.73</v>
      </c>
      <c r="M346" s="4">
        <v>0.29199999999999998</v>
      </c>
      <c r="N346" s="4">
        <v>0.73</v>
      </c>
      <c r="O346" s="4">
        <v>0.29199999999999998</v>
      </c>
      <c r="P346" s="4">
        <v>0</v>
      </c>
      <c r="Q346" s="3" t="s">
        <v>26</v>
      </c>
      <c r="R346" s="3">
        <v>0</v>
      </c>
      <c r="S346" s="4">
        <v>0</v>
      </c>
      <c r="T346" s="4">
        <v>55</v>
      </c>
      <c r="U346" s="4">
        <v>20</v>
      </c>
      <c r="V346" s="4">
        <f>IF(ISERROR(VLOOKUP($S$346,'TAR FIN'!$A$1:$O$88,15,0)),0,VLOOKUP($S$346,'TAR FIN'!$A$1:$O$88,15,0))</f>
        <v>0</v>
      </c>
      <c r="W346" s="4">
        <f>IF(ISERROR(VLOOKUP($T$346,'TAR FIN'!$A$1:$O$88,15,0)),0,VLOOKUP($T$346,'TAR FIN'!$A$1:$O$88,15,0))</f>
        <v>441.31</v>
      </c>
      <c r="X346" s="4">
        <f>IF(ISERROR(VLOOKUP($U$346,'TAR FIN'!$A$1:$O$88,15,0)),0,VLOOKUP($U$346,'TAR FIN'!$A$1:$O$88,15,0))</f>
        <v>132.22999999999999</v>
      </c>
      <c r="Y346" s="4"/>
      <c r="Z346" s="4">
        <f ca="1">('TUSD BE'!$AM$33+'TUSD BF'!$AM$33+'TUSD CVA'!$AM$33)*(1-CUSTOS!$M$38)</f>
        <v>554.80001091929842</v>
      </c>
      <c r="AA346" s="4">
        <f>('TE BE'!$AB$23+'TE BF'!$AB$23+'TE CVA'!$AB$23)*(1-CUSTOS!$M$38)</f>
        <v>128.42529768213717</v>
      </c>
      <c r="AB346" s="4">
        <f>$K$346*$V$346</f>
        <v>0</v>
      </c>
      <c r="AC346" s="4">
        <f>$M$346*$W$346</f>
        <v>128.86251999999999</v>
      </c>
      <c r="AD346" s="4">
        <f>$O$346*$X$346</f>
        <v>38.611159999999998</v>
      </c>
      <c r="AE346" s="4">
        <f>$K$346*$Y$346</f>
        <v>0</v>
      </c>
      <c r="AF346" s="4">
        <f ca="1">$M$346*$Z$346</f>
        <v>162.00160318843513</v>
      </c>
      <c r="AG346" s="4">
        <f>$O$346*$AA$346</f>
        <v>37.500186923184053</v>
      </c>
    </row>
    <row r="347" spans="1:33" ht="11.25" customHeight="1" x14ac:dyDescent="0.25">
      <c r="A347" s="3" t="s">
        <v>21</v>
      </c>
      <c r="B347" s="3" t="s">
        <v>43</v>
      </c>
      <c r="C347" s="3" t="s">
        <v>23</v>
      </c>
      <c r="D347" s="3" t="s">
        <v>44</v>
      </c>
      <c r="E347" s="3" t="s">
        <v>52</v>
      </c>
      <c r="F347" s="3" t="s">
        <v>54</v>
      </c>
      <c r="G347" s="3" t="s">
        <v>25</v>
      </c>
      <c r="H347" s="3" t="s">
        <v>25</v>
      </c>
      <c r="I347" s="6">
        <v>44501</v>
      </c>
      <c r="J347" s="4">
        <v>0</v>
      </c>
      <c r="K347" s="4">
        <v>0</v>
      </c>
      <c r="L347" s="4">
        <v>1.7170000000000001</v>
      </c>
      <c r="M347" s="4">
        <v>0.68679999999999997</v>
      </c>
      <c r="N347" s="4">
        <v>1.7170000000000001</v>
      </c>
      <c r="O347" s="4">
        <v>0.68679999999999997</v>
      </c>
      <c r="P347" s="4">
        <v>0</v>
      </c>
      <c r="Q347" s="3" t="s">
        <v>26</v>
      </c>
      <c r="R347" s="3">
        <v>0</v>
      </c>
      <c r="S347" s="4">
        <v>0</v>
      </c>
      <c r="T347" s="4">
        <v>55</v>
      </c>
      <c r="U347" s="4">
        <v>20</v>
      </c>
      <c r="V347" s="4">
        <f>IF(ISERROR(VLOOKUP($S$347,'TAR FIN'!$A$1:$O$88,15,0)),0,VLOOKUP($S$347,'TAR FIN'!$A$1:$O$88,15,0))</f>
        <v>0</v>
      </c>
      <c r="W347" s="4">
        <f>IF(ISERROR(VLOOKUP($T$347,'TAR FIN'!$A$1:$O$88,15,0)),0,VLOOKUP($T$347,'TAR FIN'!$A$1:$O$88,15,0))</f>
        <v>441.31</v>
      </c>
      <c r="X347" s="4">
        <f>IF(ISERROR(VLOOKUP($U$347,'TAR FIN'!$A$1:$O$88,15,0)),0,VLOOKUP($U$347,'TAR FIN'!$A$1:$O$88,15,0))</f>
        <v>132.22999999999999</v>
      </c>
      <c r="Y347" s="4"/>
      <c r="Z347" s="4">
        <f ca="1">('TUSD BE'!$AM$33+'TUSD BF'!$AM$33+'TUSD CVA'!$AM$33)*(1-CUSTOS!$M$38)</f>
        <v>554.80001091929842</v>
      </c>
      <c r="AA347" s="4">
        <f>('TE BE'!$AB$23+'TE BF'!$AB$23+'TE CVA'!$AB$23)*(1-CUSTOS!$M$38)</f>
        <v>128.42529768213717</v>
      </c>
      <c r="AB347" s="4">
        <f>$K$347*$V$347</f>
        <v>0</v>
      </c>
      <c r="AC347" s="4">
        <f>$M$347*$W$347</f>
        <v>303.09170799999998</v>
      </c>
      <c r="AD347" s="4">
        <f>$O$347*$X$347</f>
        <v>90.815563999999995</v>
      </c>
      <c r="AE347" s="4">
        <f>$K$347*$Y$347</f>
        <v>0</v>
      </c>
      <c r="AF347" s="4">
        <f ca="1">$M$347*$Z$347</f>
        <v>381.03664749937411</v>
      </c>
      <c r="AG347" s="4">
        <f>$O$347*$AA$347</f>
        <v>88.202494448091798</v>
      </c>
    </row>
    <row r="348" spans="1:33" ht="11.25" customHeight="1" x14ac:dyDescent="0.25">
      <c r="A348" s="3" t="s">
        <v>21</v>
      </c>
      <c r="B348" s="3" t="s">
        <v>43</v>
      </c>
      <c r="C348" s="3" t="s">
        <v>23</v>
      </c>
      <c r="D348" s="3" t="s">
        <v>44</v>
      </c>
      <c r="E348" s="3" t="s">
        <v>52</v>
      </c>
      <c r="F348" s="3" t="s">
        <v>54</v>
      </c>
      <c r="G348" s="3" t="s">
        <v>25</v>
      </c>
      <c r="H348" s="3" t="s">
        <v>25</v>
      </c>
      <c r="I348" s="6">
        <v>44531</v>
      </c>
      <c r="J348" s="4">
        <v>0</v>
      </c>
      <c r="K348" s="4">
        <v>0</v>
      </c>
      <c r="L348" s="4">
        <v>2.23</v>
      </c>
      <c r="M348" s="4">
        <v>0.89200000000000002</v>
      </c>
      <c r="N348" s="4">
        <v>2.23</v>
      </c>
      <c r="O348" s="4">
        <v>0.89200000000000002</v>
      </c>
      <c r="P348" s="4">
        <v>0</v>
      </c>
      <c r="Q348" s="3" t="s">
        <v>26</v>
      </c>
      <c r="R348" s="3">
        <v>0</v>
      </c>
      <c r="S348" s="4">
        <v>0</v>
      </c>
      <c r="T348" s="4">
        <v>55</v>
      </c>
      <c r="U348" s="4">
        <v>20</v>
      </c>
      <c r="V348" s="4">
        <f>IF(ISERROR(VLOOKUP($S$348,'TAR FIN'!$A$1:$O$88,15,0)),0,VLOOKUP($S$348,'TAR FIN'!$A$1:$O$88,15,0))</f>
        <v>0</v>
      </c>
      <c r="W348" s="4">
        <f>IF(ISERROR(VLOOKUP($T$348,'TAR FIN'!$A$1:$O$88,15,0)),0,VLOOKUP($T$348,'TAR FIN'!$A$1:$O$88,15,0))</f>
        <v>441.31</v>
      </c>
      <c r="X348" s="4">
        <f>IF(ISERROR(VLOOKUP($U$348,'TAR FIN'!$A$1:$O$88,15,0)),0,VLOOKUP($U$348,'TAR FIN'!$A$1:$O$88,15,0))</f>
        <v>132.22999999999999</v>
      </c>
      <c r="Y348" s="4"/>
      <c r="Z348" s="4">
        <f ca="1">('TUSD BE'!$AM$33+'TUSD BF'!$AM$33+'TUSD CVA'!$AM$33)*(1-CUSTOS!$M$38)</f>
        <v>554.80001091929842</v>
      </c>
      <c r="AA348" s="4">
        <f>('TE BE'!$AB$23+'TE BF'!$AB$23+'TE CVA'!$AB$23)*(1-CUSTOS!$M$38)</f>
        <v>128.42529768213717</v>
      </c>
      <c r="AB348" s="4">
        <f>$K$348*$V$348</f>
        <v>0</v>
      </c>
      <c r="AC348" s="4">
        <f>$M$348*$W$348</f>
        <v>393.64852000000002</v>
      </c>
      <c r="AD348" s="4">
        <f>$O$348*$X$348</f>
        <v>117.94915999999999</v>
      </c>
      <c r="AE348" s="4">
        <f>$K$348*$Y$348</f>
        <v>0</v>
      </c>
      <c r="AF348" s="4">
        <f ca="1">$M$348*$Z$348</f>
        <v>494.8816097400142</v>
      </c>
      <c r="AG348" s="4">
        <f>$O$348*$AA$348</f>
        <v>114.55536553246635</v>
      </c>
    </row>
    <row r="349" spans="1:33" ht="11.25" customHeight="1" x14ac:dyDescent="0.25">
      <c r="A349" s="3" t="s">
        <v>21</v>
      </c>
      <c r="B349" s="3" t="s">
        <v>43</v>
      </c>
      <c r="C349" s="3" t="s">
        <v>23</v>
      </c>
      <c r="D349" s="3" t="s">
        <v>44</v>
      </c>
      <c r="E349" s="3" t="s">
        <v>52</v>
      </c>
      <c r="F349" s="3" t="s">
        <v>54</v>
      </c>
      <c r="G349" s="3" t="s">
        <v>25</v>
      </c>
      <c r="H349" s="3" t="s">
        <v>25</v>
      </c>
      <c r="I349" s="6">
        <v>44562</v>
      </c>
      <c r="J349" s="4">
        <v>0</v>
      </c>
      <c r="K349" s="4">
        <v>0</v>
      </c>
      <c r="L349" s="4">
        <v>0.436</v>
      </c>
      <c r="M349" s="4">
        <v>0.1744</v>
      </c>
      <c r="N349" s="4">
        <v>0.436</v>
      </c>
      <c r="O349" s="4">
        <v>0.1744</v>
      </c>
      <c r="P349" s="4">
        <v>0</v>
      </c>
      <c r="Q349" s="3" t="s">
        <v>26</v>
      </c>
      <c r="R349" s="3">
        <v>0</v>
      </c>
      <c r="S349" s="4">
        <v>0</v>
      </c>
      <c r="T349" s="4">
        <v>55</v>
      </c>
      <c r="U349" s="4">
        <v>20</v>
      </c>
      <c r="V349" s="4">
        <f>IF(ISERROR(VLOOKUP($S$349,'TAR FIN'!$A$1:$O$88,15,0)),0,VLOOKUP($S$349,'TAR FIN'!$A$1:$O$88,15,0))</f>
        <v>0</v>
      </c>
      <c r="W349" s="4">
        <f>IF(ISERROR(VLOOKUP($T$349,'TAR FIN'!$A$1:$O$88,15,0)),0,VLOOKUP($T$349,'TAR FIN'!$A$1:$O$88,15,0))</f>
        <v>441.31</v>
      </c>
      <c r="X349" s="4">
        <f>IF(ISERROR(VLOOKUP($U$349,'TAR FIN'!$A$1:$O$88,15,0)),0,VLOOKUP($U$349,'TAR FIN'!$A$1:$O$88,15,0))</f>
        <v>132.22999999999999</v>
      </c>
      <c r="Y349" s="4"/>
      <c r="Z349" s="4">
        <f ca="1">('TUSD BE'!$AM$33+'TUSD BF'!$AM$33+'TUSD CVA'!$AM$33)*(1-CUSTOS!$M$38)</f>
        <v>554.80001091929842</v>
      </c>
      <c r="AA349" s="4">
        <f>('TE BE'!$AB$23+'TE BF'!$AB$23+'TE CVA'!$AB$23)*(1-CUSTOS!$M$38)</f>
        <v>128.42529768213717</v>
      </c>
      <c r="AB349" s="4">
        <f>$K$349*$V$349</f>
        <v>0</v>
      </c>
      <c r="AC349" s="4">
        <f>$M$349*$W$349</f>
        <v>76.964464000000007</v>
      </c>
      <c r="AD349" s="4">
        <f>$O$349*$X$349</f>
        <v>23.060911999999998</v>
      </c>
      <c r="AE349" s="4">
        <f>$K$349*$Y$349</f>
        <v>0</v>
      </c>
      <c r="AF349" s="4">
        <f ca="1">$M$349*$Z$349</f>
        <v>96.757121904325643</v>
      </c>
      <c r="AG349" s="4">
        <f>$O$349*$AA$349</f>
        <v>22.397371915764722</v>
      </c>
    </row>
    <row r="350" spans="1:33" ht="11.25" customHeight="1" x14ac:dyDescent="0.25">
      <c r="A350" s="3" t="s">
        <v>21</v>
      </c>
      <c r="B350" s="3" t="s">
        <v>43</v>
      </c>
      <c r="C350" s="3" t="s">
        <v>23</v>
      </c>
      <c r="D350" s="3" t="s">
        <v>44</v>
      </c>
      <c r="E350" s="3" t="s">
        <v>52</v>
      </c>
      <c r="F350" s="3" t="s">
        <v>54</v>
      </c>
      <c r="G350" s="3" t="s">
        <v>25</v>
      </c>
      <c r="H350" s="3" t="s">
        <v>25</v>
      </c>
      <c r="I350" s="6">
        <v>44593</v>
      </c>
      <c r="J350" s="4">
        <v>0</v>
      </c>
      <c r="K350" s="4">
        <v>0</v>
      </c>
      <c r="L350" s="4">
        <v>1.02</v>
      </c>
      <c r="M350" s="4">
        <v>0.40799999999999997</v>
      </c>
      <c r="N350" s="4">
        <v>1.02</v>
      </c>
      <c r="O350" s="4">
        <v>0.40799999999999997</v>
      </c>
      <c r="P350" s="4">
        <v>0</v>
      </c>
      <c r="Q350" s="3" t="s">
        <v>26</v>
      </c>
      <c r="R350" s="3">
        <v>0</v>
      </c>
      <c r="S350" s="4">
        <v>0</v>
      </c>
      <c r="T350" s="4">
        <v>55</v>
      </c>
      <c r="U350" s="4">
        <v>20</v>
      </c>
      <c r="V350" s="4">
        <f>IF(ISERROR(VLOOKUP($S$350,'TAR FIN'!$A$1:$O$88,15,0)),0,VLOOKUP($S$350,'TAR FIN'!$A$1:$O$88,15,0))</f>
        <v>0</v>
      </c>
      <c r="W350" s="4">
        <f>IF(ISERROR(VLOOKUP($T$350,'TAR FIN'!$A$1:$O$88,15,0)),0,VLOOKUP($T$350,'TAR FIN'!$A$1:$O$88,15,0))</f>
        <v>441.31</v>
      </c>
      <c r="X350" s="4">
        <f>IF(ISERROR(VLOOKUP($U$350,'TAR FIN'!$A$1:$O$88,15,0)),0,VLOOKUP($U$350,'TAR FIN'!$A$1:$O$88,15,0))</f>
        <v>132.22999999999999</v>
      </c>
      <c r="Y350" s="4"/>
      <c r="Z350" s="4">
        <f ca="1">('TUSD BE'!$AM$33+'TUSD BF'!$AM$33+'TUSD CVA'!$AM$33)*(1-CUSTOS!$M$38)</f>
        <v>554.80001091929842</v>
      </c>
      <c r="AA350" s="4">
        <f>('TE BE'!$AB$23+'TE BF'!$AB$23+'TE CVA'!$AB$23)*(1-CUSTOS!$M$38)</f>
        <v>128.42529768213717</v>
      </c>
      <c r="AB350" s="4">
        <f>$K$350*$V$350</f>
        <v>0</v>
      </c>
      <c r="AC350" s="4">
        <f>$M$350*$W$350</f>
        <v>180.05447999999998</v>
      </c>
      <c r="AD350" s="4">
        <f>$O$350*$X$350</f>
        <v>53.949839999999995</v>
      </c>
      <c r="AE350" s="4">
        <f>$K$350*$Y$350</f>
        <v>0</v>
      </c>
      <c r="AF350" s="4">
        <f ca="1">$M$350*$Z$350</f>
        <v>226.35840445507375</v>
      </c>
      <c r="AG350" s="4">
        <f>$O$350*$AA$350</f>
        <v>52.397521454311963</v>
      </c>
    </row>
    <row r="351" spans="1:33" ht="11.25" customHeight="1" x14ac:dyDescent="0.25">
      <c r="A351" s="3" t="s">
        <v>21</v>
      </c>
      <c r="B351" s="3" t="s">
        <v>43</v>
      </c>
      <c r="C351" s="3" t="s">
        <v>23</v>
      </c>
      <c r="D351" s="3" t="s">
        <v>44</v>
      </c>
      <c r="E351" s="3" t="s">
        <v>52</v>
      </c>
      <c r="F351" s="3" t="s">
        <v>54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0.876</v>
      </c>
      <c r="M351" s="4">
        <v>0.35039999999999999</v>
      </c>
      <c r="N351" s="4">
        <v>0.876</v>
      </c>
      <c r="O351" s="4">
        <v>0.35039999999999999</v>
      </c>
      <c r="P351" s="4">
        <v>0</v>
      </c>
      <c r="Q351" s="3" t="s">
        <v>26</v>
      </c>
      <c r="R351" s="3">
        <v>0</v>
      </c>
      <c r="S351" s="4">
        <v>0</v>
      </c>
      <c r="T351" s="4">
        <v>55</v>
      </c>
      <c r="U351" s="4">
        <v>20</v>
      </c>
      <c r="V351" s="4">
        <f>IF(ISERROR(VLOOKUP($S$351,'TAR FIN'!$A$1:$O$88,15,0)),0,VLOOKUP($S$351,'TAR FIN'!$A$1:$O$88,15,0))</f>
        <v>0</v>
      </c>
      <c r="W351" s="4">
        <f>IF(ISERROR(VLOOKUP($T$351,'TAR FIN'!$A$1:$O$88,15,0)),0,VLOOKUP($T$351,'TAR FIN'!$A$1:$O$88,15,0))</f>
        <v>441.31</v>
      </c>
      <c r="X351" s="4">
        <f>IF(ISERROR(VLOOKUP($U$351,'TAR FIN'!$A$1:$O$88,15,0)),0,VLOOKUP($U$351,'TAR FIN'!$A$1:$O$88,15,0))</f>
        <v>132.22999999999999</v>
      </c>
      <c r="Y351" s="4"/>
      <c r="Z351" s="4">
        <f ca="1">('TUSD BE'!$AM$33+'TUSD BF'!$AM$33+'TUSD CVA'!$AM$33)*(1-CUSTOS!$M$38)</f>
        <v>554.80001091929842</v>
      </c>
      <c r="AA351" s="4">
        <f>('TE BE'!$AB$23+'TE BF'!$AB$23+'TE CVA'!$AB$23)*(1-CUSTOS!$M$38)</f>
        <v>128.42529768213717</v>
      </c>
      <c r="AB351" s="4">
        <f>$K$351*$V$351</f>
        <v>0</v>
      </c>
      <c r="AC351" s="4">
        <f>$M$351*$W$351</f>
        <v>154.63502399999999</v>
      </c>
      <c r="AD351" s="4">
        <f>$O$351*$X$351</f>
        <v>46.333391999999996</v>
      </c>
      <c r="AE351" s="4">
        <f>$K$351*$Y$351</f>
        <v>0</v>
      </c>
      <c r="AF351" s="4">
        <f ca="1">$M$351*$Z$351</f>
        <v>194.40192382612216</v>
      </c>
      <c r="AG351" s="4">
        <f>$O$351*$AA$351</f>
        <v>45.000224307820865</v>
      </c>
    </row>
    <row r="352" spans="1:33" ht="11.25" customHeight="1" x14ac:dyDescent="0.25">
      <c r="A352" s="3" t="s">
        <v>21</v>
      </c>
      <c r="B352" s="3" t="s">
        <v>43</v>
      </c>
      <c r="C352" s="3" t="s">
        <v>23</v>
      </c>
      <c r="D352" s="3" t="s">
        <v>44</v>
      </c>
      <c r="E352" s="3" t="s">
        <v>52</v>
      </c>
      <c r="F352" s="3" t="s">
        <v>54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0.67900000000000005</v>
      </c>
      <c r="M352" s="4">
        <v>0.27160000000000001</v>
      </c>
      <c r="N352" s="4">
        <v>0.67900000000000005</v>
      </c>
      <c r="O352" s="4">
        <v>0.27160000000000001</v>
      </c>
      <c r="P352" s="4">
        <v>0</v>
      </c>
      <c r="Q352" s="3" t="s">
        <v>26</v>
      </c>
      <c r="R352" s="3">
        <v>0</v>
      </c>
      <c r="S352" s="4">
        <v>0</v>
      </c>
      <c r="T352" s="4">
        <v>55</v>
      </c>
      <c r="U352" s="4">
        <v>20</v>
      </c>
      <c r="V352" s="4">
        <f>IF(ISERROR(VLOOKUP($S$352,'TAR FIN'!$A$1:$O$88,15,0)),0,VLOOKUP($S$352,'TAR FIN'!$A$1:$O$88,15,0))</f>
        <v>0</v>
      </c>
      <c r="W352" s="4">
        <f>IF(ISERROR(VLOOKUP($T$352,'TAR FIN'!$A$1:$O$88,15,0)),0,VLOOKUP($T$352,'TAR FIN'!$A$1:$O$88,15,0))</f>
        <v>441.31</v>
      </c>
      <c r="X352" s="4">
        <f>IF(ISERROR(VLOOKUP($U$352,'TAR FIN'!$A$1:$O$88,15,0)),0,VLOOKUP($U$352,'TAR FIN'!$A$1:$O$88,15,0))</f>
        <v>132.22999999999999</v>
      </c>
      <c r="Y352" s="4"/>
      <c r="Z352" s="4">
        <f ca="1">('TUSD BE'!$AM$33+'TUSD BF'!$AM$33+'TUSD CVA'!$AM$33)*(1-CUSTOS!$M$38)</f>
        <v>554.80001091929842</v>
      </c>
      <c r="AA352" s="4">
        <f>('TE BE'!$AB$23+'TE BF'!$AB$23+'TE CVA'!$AB$23)*(1-CUSTOS!$M$38)</f>
        <v>128.42529768213717</v>
      </c>
      <c r="AB352" s="4">
        <f>$K$352*$V$352</f>
        <v>0</v>
      </c>
      <c r="AC352" s="4">
        <f>$M$352*$W$352</f>
        <v>119.859796</v>
      </c>
      <c r="AD352" s="4">
        <f>$O$352*$X$352</f>
        <v>35.913668000000001</v>
      </c>
      <c r="AE352" s="4">
        <f>$K$352*$Y$352</f>
        <v>0</v>
      </c>
      <c r="AF352" s="4">
        <f ca="1">$M$352*$Z$352</f>
        <v>150.68368296568144</v>
      </c>
      <c r="AG352" s="4">
        <f>$O$352*$AA$352</f>
        <v>34.880310850468454</v>
      </c>
    </row>
    <row r="353" spans="1:33" ht="11.25" customHeight="1" x14ac:dyDescent="0.25">
      <c r="A353" s="3" t="s">
        <v>21</v>
      </c>
      <c r="B353" s="3" t="s">
        <v>43</v>
      </c>
      <c r="C353" s="3" t="s">
        <v>23</v>
      </c>
      <c r="D353" s="3" t="s">
        <v>44</v>
      </c>
      <c r="E353" s="3" t="s">
        <v>52</v>
      </c>
      <c r="F353" s="3" t="s">
        <v>54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0.38</v>
      </c>
      <c r="M353" s="4">
        <v>0.152</v>
      </c>
      <c r="N353" s="4">
        <v>0.38</v>
      </c>
      <c r="O353" s="4">
        <v>0.152</v>
      </c>
      <c r="P353" s="4">
        <v>0</v>
      </c>
      <c r="Q353" s="3" t="s">
        <v>26</v>
      </c>
      <c r="R353" s="3">
        <v>0</v>
      </c>
      <c r="S353" s="4">
        <v>0</v>
      </c>
      <c r="T353" s="4">
        <v>55</v>
      </c>
      <c r="U353" s="4">
        <v>20</v>
      </c>
      <c r="V353" s="4">
        <f>IF(ISERROR(VLOOKUP($S$353,'TAR FIN'!$A$1:$O$88,15,0)),0,VLOOKUP($S$353,'TAR FIN'!$A$1:$O$88,15,0))</f>
        <v>0</v>
      </c>
      <c r="W353" s="4">
        <f>IF(ISERROR(VLOOKUP($T$353,'TAR FIN'!$A$1:$O$88,15,0)),0,VLOOKUP($T$353,'TAR FIN'!$A$1:$O$88,15,0))</f>
        <v>441.31</v>
      </c>
      <c r="X353" s="4">
        <f>IF(ISERROR(VLOOKUP($U$353,'TAR FIN'!$A$1:$O$88,15,0)),0,VLOOKUP($U$353,'TAR FIN'!$A$1:$O$88,15,0))</f>
        <v>132.22999999999999</v>
      </c>
      <c r="Y353" s="4"/>
      <c r="Z353" s="4">
        <f ca="1">('TUSD BE'!$AM$33+'TUSD BF'!$AM$33+'TUSD CVA'!$AM$33)*(1-CUSTOS!$M$38)</f>
        <v>554.80001091929842</v>
      </c>
      <c r="AA353" s="4">
        <f>('TE BE'!$AB$23+'TE BF'!$AB$23+'TE CVA'!$AB$23)*(1-CUSTOS!$M$38)</f>
        <v>128.42529768213717</v>
      </c>
      <c r="AB353" s="4">
        <f>$K$353*$V$353</f>
        <v>0</v>
      </c>
      <c r="AC353" s="4">
        <f>$M$353*$W$353</f>
        <v>67.079120000000003</v>
      </c>
      <c r="AD353" s="4">
        <f>$O$353*$X$353</f>
        <v>20.098959999999998</v>
      </c>
      <c r="AE353" s="4">
        <f>$K$353*$Y$353</f>
        <v>0</v>
      </c>
      <c r="AF353" s="4">
        <f ca="1">$M$353*$Z$353</f>
        <v>84.329601659733356</v>
      </c>
      <c r="AG353" s="4">
        <f>$O$353*$AA$353</f>
        <v>19.52064524768485</v>
      </c>
    </row>
    <row r="354" spans="1:33" ht="11.25" customHeight="1" x14ac:dyDescent="0.25">
      <c r="A354" s="3" t="s">
        <v>21</v>
      </c>
      <c r="B354" s="3" t="s">
        <v>43</v>
      </c>
      <c r="C354" s="3" t="s">
        <v>23</v>
      </c>
      <c r="D354" s="3" t="s">
        <v>44</v>
      </c>
      <c r="E354" s="3" t="s">
        <v>52</v>
      </c>
      <c r="F354" s="3" t="s">
        <v>54</v>
      </c>
      <c r="G354" s="3" t="s">
        <v>25</v>
      </c>
      <c r="H354" s="3" t="s">
        <v>25</v>
      </c>
      <c r="I354" s="6">
        <v>44713</v>
      </c>
      <c r="J354" s="4">
        <v>0</v>
      </c>
      <c r="K354" s="4">
        <v>0</v>
      </c>
      <c r="L354" s="4">
        <v>0.26900000000000002</v>
      </c>
      <c r="M354" s="4">
        <v>0.1076</v>
      </c>
      <c r="N354" s="4">
        <v>0.26900000000000002</v>
      </c>
      <c r="O354" s="4">
        <v>0.1076</v>
      </c>
      <c r="P354" s="4">
        <v>0</v>
      </c>
      <c r="Q354" s="3" t="s">
        <v>26</v>
      </c>
      <c r="R354" s="3">
        <v>0</v>
      </c>
      <c r="S354" s="4">
        <v>0</v>
      </c>
      <c r="T354" s="4">
        <v>55</v>
      </c>
      <c r="U354" s="4">
        <v>20</v>
      </c>
      <c r="V354" s="4">
        <f>IF(ISERROR(VLOOKUP($S$354,'TAR FIN'!$A$1:$O$88,15,0)),0,VLOOKUP($S$354,'TAR FIN'!$A$1:$O$88,15,0))</f>
        <v>0</v>
      </c>
      <c r="W354" s="4">
        <f>IF(ISERROR(VLOOKUP($T$354,'TAR FIN'!$A$1:$O$88,15,0)),0,VLOOKUP($T$354,'TAR FIN'!$A$1:$O$88,15,0))</f>
        <v>441.31</v>
      </c>
      <c r="X354" s="4">
        <f>IF(ISERROR(VLOOKUP($U$354,'TAR FIN'!$A$1:$O$88,15,0)),0,VLOOKUP($U$354,'TAR FIN'!$A$1:$O$88,15,0))</f>
        <v>132.22999999999999</v>
      </c>
      <c r="Y354" s="4"/>
      <c r="Z354" s="4">
        <f ca="1">('TUSD BE'!$AM$33+'TUSD BF'!$AM$33+'TUSD CVA'!$AM$33)*(1-CUSTOS!$M$38)</f>
        <v>554.80001091929842</v>
      </c>
      <c r="AA354" s="4">
        <f>('TE BE'!$AB$23+'TE BF'!$AB$23+'TE CVA'!$AB$23)*(1-CUSTOS!$M$38)</f>
        <v>128.42529768213717</v>
      </c>
      <c r="AB354" s="4">
        <f>$K$354*$V$354</f>
        <v>0</v>
      </c>
      <c r="AC354" s="4">
        <f>$M$354*$W$354</f>
        <v>47.484956000000004</v>
      </c>
      <c r="AD354" s="4">
        <f>$O$354*$X$354</f>
        <v>14.227948</v>
      </c>
      <c r="AE354" s="4">
        <f>$K$354*$Y$354</f>
        <v>0</v>
      </c>
      <c r="AF354" s="4">
        <f ca="1">$M$354*$Z$354</f>
        <v>59.696481174916514</v>
      </c>
      <c r="AG354" s="4">
        <f>$O$354*$AA$354</f>
        <v>13.81856203059796</v>
      </c>
    </row>
    <row r="355" spans="1:33" ht="11.25" customHeight="1" x14ac:dyDescent="0.25">
      <c r="A355" s="3" t="s">
        <v>21</v>
      </c>
      <c r="B355" s="3" t="s">
        <v>43</v>
      </c>
      <c r="C355" s="3" t="s">
        <v>23</v>
      </c>
      <c r="D355" s="3" t="s">
        <v>44</v>
      </c>
      <c r="E355" s="3" t="s">
        <v>52</v>
      </c>
      <c r="F355" s="3" t="s">
        <v>54</v>
      </c>
      <c r="G355" s="3" t="s">
        <v>25</v>
      </c>
      <c r="H355" s="3" t="s">
        <v>25</v>
      </c>
      <c r="I355" s="6">
        <v>44743</v>
      </c>
      <c r="J355" s="4">
        <v>0</v>
      </c>
      <c r="K355" s="4">
        <v>0</v>
      </c>
      <c r="L355" s="4">
        <v>0.22</v>
      </c>
      <c r="M355" s="4">
        <v>8.7999999999999995E-2</v>
      </c>
      <c r="N355" s="4">
        <v>0.22</v>
      </c>
      <c r="O355" s="4">
        <v>8.7999999999999995E-2</v>
      </c>
      <c r="P355" s="4">
        <v>0</v>
      </c>
      <c r="Q355" s="3" t="s">
        <v>26</v>
      </c>
      <c r="R355" s="3">
        <v>0</v>
      </c>
      <c r="S355" s="4">
        <v>0</v>
      </c>
      <c r="T355" s="4">
        <v>55</v>
      </c>
      <c r="U355" s="4">
        <v>20</v>
      </c>
      <c r="V355" s="4">
        <f>IF(ISERROR(VLOOKUP($S$355,'TAR FIN'!$A$1:$O$88,15,0)),0,VLOOKUP($S$355,'TAR FIN'!$A$1:$O$88,15,0))</f>
        <v>0</v>
      </c>
      <c r="W355" s="4">
        <f>IF(ISERROR(VLOOKUP($T$355,'TAR FIN'!$A$1:$O$88,15,0)),0,VLOOKUP($T$355,'TAR FIN'!$A$1:$O$88,15,0))</f>
        <v>441.31</v>
      </c>
      <c r="X355" s="4">
        <f>IF(ISERROR(VLOOKUP($U$355,'TAR FIN'!$A$1:$O$88,15,0)),0,VLOOKUP($U$355,'TAR FIN'!$A$1:$O$88,15,0))</f>
        <v>132.22999999999999</v>
      </c>
      <c r="Y355" s="4"/>
      <c r="Z355" s="4">
        <f ca="1">('TUSD BE'!$AM$33+'TUSD BF'!$AM$33+'TUSD CVA'!$AM$33)*(1-CUSTOS!$M$38)</f>
        <v>554.80001091929842</v>
      </c>
      <c r="AA355" s="4">
        <f>('TE BE'!$AB$23+'TE BF'!$AB$23+'TE CVA'!$AB$23)*(1-CUSTOS!$M$38)</f>
        <v>128.42529768213717</v>
      </c>
      <c r="AB355" s="4">
        <f>$K$355*$V$355</f>
        <v>0</v>
      </c>
      <c r="AC355" s="4">
        <f>$M$355*$W$355</f>
        <v>38.835279999999997</v>
      </c>
      <c r="AD355" s="4">
        <f>$O$355*$X$355</f>
        <v>11.636239999999999</v>
      </c>
      <c r="AE355" s="4">
        <f>$K$355*$Y$355</f>
        <v>0</v>
      </c>
      <c r="AF355" s="4">
        <f ca="1">$M$355*$Z$355</f>
        <v>48.822400960898257</v>
      </c>
      <c r="AG355" s="4">
        <f>$O$355*$AA$355</f>
        <v>11.30142619602807</v>
      </c>
    </row>
    <row r="356" spans="1:33" ht="11.25" customHeight="1" x14ac:dyDescent="0.25">
      <c r="A356" s="3" t="s">
        <v>55</v>
      </c>
      <c r="B356" s="3" t="s">
        <v>43</v>
      </c>
      <c r="C356" s="3" t="s">
        <v>23</v>
      </c>
      <c r="D356" s="3" t="s">
        <v>44</v>
      </c>
      <c r="E356" s="3" t="s">
        <v>52</v>
      </c>
      <c r="F356" s="3" t="s">
        <v>54</v>
      </c>
      <c r="G356" s="3" t="s">
        <v>25</v>
      </c>
      <c r="H356" s="3" t="s">
        <v>25</v>
      </c>
      <c r="I356" s="6">
        <v>44774</v>
      </c>
      <c r="J356" s="4">
        <v>0</v>
      </c>
      <c r="K356" s="4">
        <v>0</v>
      </c>
      <c r="L356" s="4">
        <v>0.22</v>
      </c>
      <c r="M356" s="4">
        <v>8.7999999999999995E-2</v>
      </c>
      <c r="N356" s="4">
        <v>0.22</v>
      </c>
      <c r="O356" s="4">
        <v>8.7999999999999995E-2</v>
      </c>
      <c r="P356" s="4">
        <v>0</v>
      </c>
      <c r="Q356" s="3" t="s">
        <v>26</v>
      </c>
      <c r="R356" s="3">
        <v>0</v>
      </c>
      <c r="S356" s="4">
        <v>0</v>
      </c>
      <c r="T356" s="4">
        <v>55</v>
      </c>
      <c r="U356" s="4">
        <v>20</v>
      </c>
      <c r="V356" s="4">
        <f>IF(ISERROR(VLOOKUP($S$356,'TAR FIN'!$A$1:$O$88,15,0)),0,VLOOKUP($S$356,'TAR FIN'!$A$1:$O$88,15,0))</f>
        <v>0</v>
      </c>
      <c r="W356" s="4">
        <f>IF(ISERROR(VLOOKUP($T$356,'TAR FIN'!$A$1:$O$88,15,0)),0,VLOOKUP($T$356,'TAR FIN'!$A$1:$O$88,15,0))</f>
        <v>441.31</v>
      </c>
      <c r="X356" s="4">
        <f>IF(ISERROR(VLOOKUP($U$356,'TAR FIN'!$A$1:$O$88,15,0)),0,VLOOKUP($U$356,'TAR FIN'!$A$1:$O$88,15,0))</f>
        <v>132.22999999999999</v>
      </c>
      <c r="Y356" s="4"/>
      <c r="Z356" s="4">
        <f ca="1">('TUSD BE'!$AM$33+'TUSD BF'!$AM$33+'TUSD CVA'!$AM$33)*(1-CUSTOS!$M$38)</f>
        <v>554.80001091929842</v>
      </c>
      <c r="AA356" s="4">
        <f>('TE BE'!$AB$23+'TE BF'!$AB$23+'TE CVA'!$AB$23)*(1-CUSTOS!$M$38)</f>
        <v>128.42529768213717</v>
      </c>
      <c r="AB356" s="4">
        <f>$K$356*$V$356</f>
        <v>0</v>
      </c>
      <c r="AC356" s="4">
        <f>$M$356*$W$356</f>
        <v>38.835279999999997</v>
      </c>
      <c r="AD356" s="4">
        <f>$O$356*$X$356</f>
        <v>11.636239999999999</v>
      </c>
      <c r="AE356" s="4">
        <f>$K$356*$Y$356</f>
        <v>0</v>
      </c>
      <c r="AF356" s="4">
        <f ca="1">$M$356*$Z$356</f>
        <v>48.822400960898257</v>
      </c>
      <c r="AG356" s="4">
        <f>$O$356*$AA$356</f>
        <v>11.30142619602807</v>
      </c>
    </row>
    <row r="357" spans="1:33" ht="11.25" customHeight="1" x14ac:dyDescent="0.25">
      <c r="A357" s="3" t="s">
        <v>21</v>
      </c>
      <c r="B357" s="3" t="s">
        <v>43</v>
      </c>
      <c r="C357" s="3" t="s">
        <v>23</v>
      </c>
      <c r="D357" s="3" t="s">
        <v>44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244.33500000000001</v>
      </c>
      <c r="M357" s="4">
        <v>244.33500000000001</v>
      </c>
      <c r="N357" s="4">
        <v>244.33500000000001</v>
      </c>
      <c r="O357" s="4">
        <v>244.33500000000001</v>
      </c>
      <c r="P357" s="4">
        <v>760</v>
      </c>
      <c r="Q357" s="3" t="s">
        <v>26</v>
      </c>
      <c r="R357" s="3">
        <v>0</v>
      </c>
      <c r="S357" s="4">
        <v>0</v>
      </c>
      <c r="T357" s="4">
        <v>55</v>
      </c>
      <c r="U357" s="4">
        <v>20</v>
      </c>
      <c r="V357" s="4">
        <f>IF(ISERROR(VLOOKUP($S$357,'TAR FIN'!$A$1:$O$88,15,0)),0,VLOOKUP($S$357,'TAR FIN'!$A$1:$O$88,15,0))</f>
        <v>0</v>
      </c>
      <c r="W357" s="4">
        <f>IF(ISERROR(VLOOKUP($T$357,'TAR FIN'!$A$1:$O$88,15,0)),0,VLOOKUP($T$357,'TAR FIN'!$A$1:$O$88,15,0))</f>
        <v>441.31</v>
      </c>
      <c r="X357" s="4">
        <f>IF(ISERROR(VLOOKUP($U$357,'TAR FIN'!$A$1:$O$88,15,0)),0,VLOOKUP($U$357,'TAR FIN'!$A$1:$O$88,15,0))</f>
        <v>132.22999999999999</v>
      </c>
      <c r="Y357" s="4"/>
      <c r="Z357" s="4">
        <f ca="1">('TUSD BE'!$AM$33+'TUSD BF'!$AM$33+'TUSD CVA'!$AM$33)*(1-CUSTOS!$M$38)</f>
        <v>554.80001091929842</v>
      </c>
      <c r="AA357" s="4">
        <f>('TE BE'!$AB$23+'TE BF'!$AB$23+'TE CVA'!$AB$23)*(1-CUSTOS!$M$38)</f>
        <v>128.42529768213717</v>
      </c>
      <c r="AB357" s="4">
        <f>$K$357*$V$357</f>
        <v>0</v>
      </c>
      <c r="AC357" s="4">
        <f>$M$357*$W$357</f>
        <v>107827.47885</v>
      </c>
      <c r="AD357" s="4">
        <f>$O$357*$X$357</f>
        <v>32308.41705</v>
      </c>
      <c r="AE357" s="4">
        <f>$K$357*$Y$357</f>
        <v>0</v>
      </c>
      <c r="AF357" s="4">
        <f ca="1">$M$357*$Z$357</f>
        <v>135557.06066796678</v>
      </c>
      <c r="AG357" s="4">
        <f>$O$357*$AA$357</f>
        <v>31378.795109164985</v>
      </c>
    </row>
    <row r="358" spans="1:33" ht="11.25" customHeight="1" x14ac:dyDescent="0.25">
      <c r="A358" s="3" t="s">
        <v>28</v>
      </c>
      <c r="B358" s="3" t="s">
        <v>43</v>
      </c>
      <c r="C358" s="3" t="s">
        <v>23</v>
      </c>
      <c r="D358" s="3" t="s">
        <v>44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44440</v>
      </c>
      <c r="J358" s="4">
        <v>0</v>
      </c>
      <c r="K358" s="4">
        <v>0</v>
      </c>
      <c r="L358" s="4">
        <v>0.54800000000000004</v>
      </c>
      <c r="M358" s="4">
        <v>0.54800000000000004</v>
      </c>
      <c r="N358" s="4">
        <v>0.54800000000000004</v>
      </c>
      <c r="O358" s="4">
        <v>0.54800000000000004</v>
      </c>
      <c r="P358" s="4">
        <v>4</v>
      </c>
      <c r="Q358" s="3" t="s">
        <v>26</v>
      </c>
      <c r="R358" s="3">
        <v>0</v>
      </c>
      <c r="S358" s="4">
        <v>0</v>
      </c>
      <c r="T358" s="4">
        <v>55</v>
      </c>
      <c r="U358" s="4">
        <v>20</v>
      </c>
      <c r="V358" s="4">
        <f>IF(ISERROR(VLOOKUP($S$358,'TAR FIN'!$A$1:$O$88,15,0)),0,VLOOKUP($S$358,'TAR FIN'!$A$1:$O$88,15,0))</f>
        <v>0</v>
      </c>
      <c r="W358" s="4">
        <f>IF(ISERROR(VLOOKUP($T$358,'TAR FIN'!$A$1:$O$88,15,0)),0,VLOOKUP($T$358,'TAR FIN'!$A$1:$O$88,15,0))</f>
        <v>441.31</v>
      </c>
      <c r="X358" s="4">
        <f>IF(ISERROR(VLOOKUP($U$358,'TAR FIN'!$A$1:$O$88,15,0)),0,VLOOKUP($U$358,'TAR FIN'!$A$1:$O$88,15,0))</f>
        <v>132.22999999999999</v>
      </c>
      <c r="Y358" s="4"/>
      <c r="Z358" s="4">
        <f ca="1">('TUSD BE'!$AM$33+'TUSD BF'!$AM$33+'TUSD CVA'!$AM$33)*(1-CUSTOS!$M$38)</f>
        <v>554.80001091929842</v>
      </c>
      <c r="AA358" s="4">
        <f>('TE BE'!$AB$23+'TE BF'!$AB$23+'TE CVA'!$AB$23)*(1-CUSTOS!$M$38)</f>
        <v>128.42529768213717</v>
      </c>
      <c r="AB358" s="4">
        <f>$K$358*$V$358</f>
        <v>0</v>
      </c>
      <c r="AC358" s="4">
        <f>$M$358*$W$358</f>
        <v>241.83788000000001</v>
      </c>
      <c r="AD358" s="4">
        <f>$O$358*$X$358</f>
        <v>72.462040000000002</v>
      </c>
      <c r="AE358" s="4">
        <f>$K$358*$Y$358</f>
        <v>0</v>
      </c>
      <c r="AF358" s="4">
        <f ca="1">$M$358*$Z$358</f>
        <v>304.03040598377555</v>
      </c>
      <c r="AG358" s="4">
        <f>$O$358*$AA$358</f>
        <v>70.377063129811177</v>
      </c>
    </row>
    <row r="359" spans="1:33" ht="11.25" customHeight="1" x14ac:dyDescent="0.25">
      <c r="A359" s="3" t="s">
        <v>21</v>
      </c>
      <c r="B359" s="3" t="s">
        <v>43</v>
      </c>
      <c r="C359" s="3" t="s">
        <v>23</v>
      </c>
      <c r="D359" s="3" t="s">
        <v>44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303.26799999999997</v>
      </c>
      <c r="M359" s="4">
        <v>303.26799999999997</v>
      </c>
      <c r="N359" s="4">
        <v>303.26799999999997</v>
      </c>
      <c r="O359" s="4">
        <v>303.26799999999997</v>
      </c>
      <c r="P359" s="4">
        <v>764</v>
      </c>
      <c r="Q359" s="3" t="s">
        <v>26</v>
      </c>
      <c r="R359" s="3">
        <v>0</v>
      </c>
      <c r="S359" s="4">
        <v>0</v>
      </c>
      <c r="T359" s="4">
        <v>55</v>
      </c>
      <c r="U359" s="4">
        <v>20</v>
      </c>
      <c r="V359" s="4">
        <f>IF(ISERROR(VLOOKUP($S$359,'TAR FIN'!$A$1:$O$88,15,0)),0,VLOOKUP($S$359,'TAR FIN'!$A$1:$O$88,15,0))</f>
        <v>0</v>
      </c>
      <c r="W359" s="4">
        <f>IF(ISERROR(VLOOKUP($T$359,'TAR FIN'!$A$1:$O$88,15,0)),0,VLOOKUP($T$359,'TAR FIN'!$A$1:$O$88,15,0))</f>
        <v>441.31</v>
      </c>
      <c r="X359" s="4">
        <f>IF(ISERROR(VLOOKUP($U$359,'TAR FIN'!$A$1:$O$88,15,0)),0,VLOOKUP($U$359,'TAR FIN'!$A$1:$O$88,15,0))</f>
        <v>132.22999999999999</v>
      </c>
      <c r="Y359" s="4"/>
      <c r="Z359" s="4">
        <f ca="1">('TUSD BE'!$AM$33+'TUSD BF'!$AM$33+'TUSD CVA'!$AM$33)*(1-CUSTOS!$M$38)</f>
        <v>554.80001091929842</v>
      </c>
      <c r="AA359" s="4">
        <f>('TE BE'!$AB$23+'TE BF'!$AB$23+'TE CVA'!$AB$23)*(1-CUSTOS!$M$38)</f>
        <v>128.42529768213717</v>
      </c>
      <c r="AB359" s="4">
        <f>$K$359*$V$359</f>
        <v>0</v>
      </c>
      <c r="AC359" s="4">
        <f>$M$359*$W$359</f>
        <v>133835.20108</v>
      </c>
      <c r="AD359" s="4">
        <f>$O$359*$X$359</f>
        <v>40101.127639999992</v>
      </c>
      <c r="AE359" s="4">
        <f>$K$359*$Y$359</f>
        <v>0</v>
      </c>
      <c r="AF359" s="4">
        <f ca="1">$M$359*$Z$359</f>
        <v>168253.08971147379</v>
      </c>
      <c r="AG359" s="4">
        <f>$O$359*$AA$359</f>
        <v>38947.283177466372</v>
      </c>
    </row>
    <row r="360" spans="1:33" ht="11.25" customHeight="1" x14ac:dyDescent="0.25">
      <c r="A360" s="3" t="s">
        <v>27</v>
      </c>
      <c r="B360" s="3" t="s">
        <v>43</v>
      </c>
      <c r="C360" s="3" t="s">
        <v>23</v>
      </c>
      <c r="D360" s="3" t="s">
        <v>44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-1</v>
      </c>
      <c r="M360" s="4">
        <v>-1</v>
      </c>
      <c r="N360" s="4">
        <v>-1</v>
      </c>
      <c r="O360" s="4">
        <v>-1</v>
      </c>
      <c r="P360" s="4">
        <v>0</v>
      </c>
      <c r="Q360" s="3" t="s">
        <v>26</v>
      </c>
      <c r="R360" s="3">
        <v>0</v>
      </c>
      <c r="S360" s="4">
        <v>0</v>
      </c>
      <c r="T360" s="4">
        <v>55</v>
      </c>
      <c r="U360" s="4">
        <v>20</v>
      </c>
      <c r="V360" s="4">
        <f>IF(ISERROR(VLOOKUP($S$360,'TAR FIN'!$A$1:$O$88,15,0)),0,VLOOKUP($S$360,'TAR FIN'!$A$1:$O$88,15,0))</f>
        <v>0</v>
      </c>
      <c r="W360" s="4">
        <f>IF(ISERROR(VLOOKUP($T$360,'TAR FIN'!$A$1:$O$88,15,0)),0,VLOOKUP($T$360,'TAR FIN'!$A$1:$O$88,15,0))</f>
        <v>441.31</v>
      </c>
      <c r="X360" s="4">
        <f>IF(ISERROR(VLOOKUP($U$360,'TAR FIN'!$A$1:$O$88,15,0)),0,VLOOKUP($U$360,'TAR FIN'!$A$1:$O$88,15,0))</f>
        <v>132.22999999999999</v>
      </c>
      <c r="Y360" s="4"/>
      <c r="Z360" s="4">
        <f ca="1">('TUSD BE'!$AM$33+'TUSD BF'!$AM$33+'TUSD CVA'!$AM$33)*(1-CUSTOS!$M$38)</f>
        <v>554.80001091929842</v>
      </c>
      <c r="AA360" s="4">
        <f>('TE BE'!$AB$23+'TE BF'!$AB$23+'TE CVA'!$AB$23)*(1-CUSTOS!$M$38)</f>
        <v>128.42529768213717</v>
      </c>
      <c r="AB360" s="4">
        <f>$K$360*$V$360</f>
        <v>0</v>
      </c>
      <c r="AC360" s="4">
        <f>$M$360*$W$360</f>
        <v>-441.31</v>
      </c>
      <c r="AD360" s="4">
        <f>$O$360*$X$360</f>
        <v>-132.22999999999999</v>
      </c>
      <c r="AE360" s="4">
        <f>$K$360*$Y$360</f>
        <v>0</v>
      </c>
      <c r="AF360" s="4">
        <f ca="1">$M$360*$Z$360</f>
        <v>-554.80001091929842</v>
      </c>
      <c r="AG360" s="4">
        <f>$O$360*$AA$360</f>
        <v>-128.42529768213717</v>
      </c>
    </row>
    <row r="361" spans="1:33" ht="11.25" customHeight="1" x14ac:dyDescent="0.25">
      <c r="A361" s="3" t="s">
        <v>28</v>
      </c>
      <c r="B361" s="3" t="s">
        <v>43</v>
      </c>
      <c r="C361" s="3" t="s">
        <v>23</v>
      </c>
      <c r="D361" s="3" t="s">
        <v>44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0.56699999999999995</v>
      </c>
      <c r="M361" s="4">
        <v>0.56699999999999995</v>
      </c>
      <c r="N361" s="4">
        <v>0.56699999999999995</v>
      </c>
      <c r="O361" s="4">
        <v>0.56699999999999995</v>
      </c>
      <c r="P361" s="4">
        <v>4</v>
      </c>
      <c r="Q361" s="3" t="s">
        <v>26</v>
      </c>
      <c r="R361" s="3">
        <v>0</v>
      </c>
      <c r="S361" s="4">
        <v>0</v>
      </c>
      <c r="T361" s="4">
        <v>55</v>
      </c>
      <c r="U361" s="4">
        <v>20</v>
      </c>
      <c r="V361" s="4">
        <f>IF(ISERROR(VLOOKUP($S$361,'TAR FIN'!$A$1:$O$88,15,0)),0,VLOOKUP($S$361,'TAR FIN'!$A$1:$O$88,15,0))</f>
        <v>0</v>
      </c>
      <c r="W361" s="4">
        <f>IF(ISERROR(VLOOKUP($T$361,'TAR FIN'!$A$1:$O$88,15,0)),0,VLOOKUP($T$361,'TAR FIN'!$A$1:$O$88,15,0))</f>
        <v>441.31</v>
      </c>
      <c r="X361" s="4">
        <f>IF(ISERROR(VLOOKUP($U$361,'TAR FIN'!$A$1:$O$88,15,0)),0,VLOOKUP($U$361,'TAR FIN'!$A$1:$O$88,15,0))</f>
        <v>132.22999999999999</v>
      </c>
      <c r="Y361" s="4"/>
      <c r="Z361" s="4">
        <f ca="1">('TUSD BE'!$AM$33+'TUSD BF'!$AM$33+'TUSD CVA'!$AM$33)*(1-CUSTOS!$M$38)</f>
        <v>554.80001091929842</v>
      </c>
      <c r="AA361" s="4">
        <f>('TE BE'!$AB$23+'TE BF'!$AB$23+'TE CVA'!$AB$23)*(1-CUSTOS!$M$38)</f>
        <v>128.42529768213717</v>
      </c>
      <c r="AB361" s="4">
        <f>$K$361*$V$361</f>
        <v>0</v>
      </c>
      <c r="AC361" s="4">
        <f>$M$361*$W$361</f>
        <v>250.22276999999997</v>
      </c>
      <c r="AD361" s="4">
        <f>$O$361*$X$361</f>
        <v>74.974409999999992</v>
      </c>
      <c r="AE361" s="4">
        <f>$K$361*$Y$361</f>
        <v>0</v>
      </c>
      <c r="AF361" s="4">
        <f ca="1">$M$361*$Z$361</f>
        <v>314.57160619124215</v>
      </c>
      <c r="AG361" s="4">
        <f>$O$361*$AA$361</f>
        <v>72.817143785771762</v>
      </c>
    </row>
    <row r="362" spans="1:33" ht="11.25" customHeight="1" x14ac:dyDescent="0.25">
      <c r="A362" s="3" t="s">
        <v>21</v>
      </c>
      <c r="B362" s="3" t="s">
        <v>43</v>
      </c>
      <c r="C362" s="3" t="s">
        <v>23</v>
      </c>
      <c r="D362" s="3" t="s">
        <v>44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335.06099999999998</v>
      </c>
      <c r="M362" s="4">
        <v>335.06099999999998</v>
      </c>
      <c r="N362" s="4">
        <v>335.06099999999998</v>
      </c>
      <c r="O362" s="4">
        <v>335.06099999999998</v>
      </c>
      <c r="P362" s="4">
        <v>764</v>
      </c>
      <c r="Q362" s="3" t="s">
        <v>26</v>
      </c>
      <c r="R362" s="3">
        <v>0</v>
      </c>
      <c r="S362" s="4">
        <v>0</v>
      </c>
      <c r="T362" s="4">
        <v>55</v>
      </c>
      <c r="U362" s="4">
        <v>20</v>
      </c>
      <c r="V362" s="4">
        <f>IF(ISERROR(VLOOKUP($S$362,'TAR FIN'!$A$1:$O$88,15,0)),0,VLOOKUP($S$362,'TAR FIN'!$A$1:$O$88,15,0))</f>
        <v>0</v>
      </c>
      <c r="W362" s="4">
        <f>IF(ISERROR(VLOOKUP($T$362,'TAR FIN'!$A$1:$O$88,15,0)),0,VLOOKUP($T$362,'TAR FIN'!$A$1:$O$88,15,0))</f>
        <v>441.31</v>
      </c>
      <c r="X362" s="4">
        <f>IF(ISERROR(VLOOKUP($U$362,'TAR FIN'!$A$1:$O$88,15,0)),0,VLOOKUP($U$362,'TAR FIN'!$A$1:$O$88,15,0))</f>
        <v>132.22999999999999</v>
      </c>
      <c r="Y362" s="4"/>
      <c r="Z362" s="4">
        <f ca="1">('TUSD BE'!$AM$33+'TUSD BF'!$AM$33+'TUSD CVA'!$AM$33)*(1-CUSTOS!$M$38)</f>
        <v>554.80001091929842</v>
      </c>
      <c r="AA362" s="4">
        <f>('TE BE'!$AB$23+'TE BF'!$AB$23+'TE CVA'!$AB$23)*(1-CUSTOS!$M$38)</f>
        <v>128.42529768213717</v>
      </c>
      <c r="AB362" s="4">
        <f>$K$362*$V$362</f>
        <v>0</v>
      </c>
      <c r="AC362" s="4">
        <f>$M$362*$W$362</f>
        <v>147865.76991</v>
      </c>
      <c r="AD362" s="4">
        <f>$O$362*$X$362</f>
        <v>44305.11602999999</v>
      </c>
      <c r="AE362" s="4">
        <f>$K$362*$Y$362</f>
        <v>0</v>
      </c>
      <c r="AF362" s="4">
        <f ca="1">$M$362*$Z$362</f>
        <v>185891.84645863104</v>
      </c>
      <c r="AG362" s="4">
        <f>$O$362*$AA$362</f>
        <v>43030.308666674558</v>
      </c>
    </row>
    <row r="363" spans="1:33" ht="11.25" customHeight="1" x14ac:dyDescent="0.25">
      <c r="A363" s="3" t="s">
        <v>27</v>
      </c>
      <c r="B363" s="3" t="s">
        <v>43</v>
      </c>
      <c r="C363" s="3" t="s">
        <v>23</v>
      </c>
      <c r="D363" s="3" t="s">
        <v>44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-1.5720000000000001</v>
      </c>
      <c r="M363" s="4">
        <v>-1.5720000000000001</v>
      </c>
      <c r="N363" s="4">
        <v>-1.5720000000000001</v>
      </c>
      <c r="O363" s="4">
        <v>-1.5720000000000001</v>
      </c>
      <c r="P363" s="4">
        <v>0</v>
      </c>
      <c r="Q363" s="3" t="s">
        <v>26</v>
      </c>
      <c r="R363" s="3">
        <v>0</v>
      </c>
      <c r="S363" s="4">
        <v>0</v>
      </c>
      <c r="T363" s="4">
        <v>55</v>
      </c>
      <c r="U363" s="4">
        <v>20</v>
      </c>
      <c r="V363" s="4">
        <f>IF(ISERROR(VLOOKUP($S$363,'TAR FIN'!$A$1:$O$88,15,0)),0,VLOOKUP($S$363,'TAR FIN'!$A$1:$O$88,15,0))</f>
        <v>0</v>
      </c>
      <c r="W363" s="4">
        <f>IF(ISERROR(VLOOKUP($T$363,'TAR FIN'!$A$1:$O$88,15,0)),0,VLOOKUP($T$363,'TAR FIN'!$A$1:$O$88,15,0))</f>
        <v>441.31</v>
      </c>
      <c r="X363" s="4">
        <f>IF(ISERROR(VLOOKUP($U$363,'TAR FIN'!$A$1:$O$88,15,0)),0,VLOOKUP($U$363,'TAR FIN'!$A$1:$O$88,15,0))</f>
        <v>132.22999999999999</v>
      </c>
      <c r="Y363" s="4"/>
      <c r="Z363" s="4">
        <f ca="1">('TUSD BE'!$AM$33+'TUSD BF'!$AM$33+'TUSD CVA'!$AM$33)*(1-CUSTOS!$M$38)</f>
        <v>554.80001091929842</v>
      </c>
      <c r="AA363" s="4">
        <f>('TE BE'!$AB$23+'TE BF'!$AB$23+'TE CVA'!$AB$23)*(1-CUSTOS!$M$38)</f>
        <v>128.42529768213717</v>
      </c>
      <c r="AB363" s="4">
        <f>$K$363*$V$363</f>
        <v>0</v>
      </c>
      <c r="AC363" s="4">
        <f>$M$363*$W$363</f>
        <v>-693.73932000000002</v>
      </c>
      <c r="AD363" s="4">
        <f>$O$363*$X$363</f>
        <v>-207.86555999999999</v>
      </c>
      <c r="AE363" s="4">
        <f>$K$363*$Y$363</f>
        <v>0</v>
      </c>
      <c r="AF363" s="4">
        <f ca="1">$M$363*$Z$363</f>
        <v>-872.1456171651372</v>
      </c>
      <c r="AG363" s="4">
        <f>$O$363*$AA$363</f>
        <v>-201.88456795631964</v>
      </c>
    </row>
    <row r="364" spans="1:33" ht="11.25" customHeight="1" x14ac:dyDescent="0.25">
      <c r="A364" s="3" t="s">
        <v>28</v>
      </c>
      <c r="B364" s="3" t="s">
        <v>43</v>
      </c>
      <c r="C364" s="3" t="s">
        <v>23</v>
      </c>
      <c r="D364" s="3" t="s">
        <v>44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1.4790000000000001</v>
      </c>
      <c r="M364" s="4">
        <v>1.4790000000000001</v>
      </c>
      <c r="N364" s="4">
        <v>1.4790000000000001</v>
      </c>
      <c r="O364" s="4">
        <v>1.4790000000000001</v>
      </c>
      <c r="P364" s="4">
        <v>6</v>
      </c>
      <c r="Q364" s="3" t="s">
        <v>26</v>
      </c>
      <c r="R364" s="3">
        <v>0</v>
      </c>
      <c r="S364" s="4">
        <v>0</v>
      </c>
      <c r="T364" s="4">
        <v>55</v>
      </c>
      <c r="U364" s="4">
        <v>20</v>
      </c>
      <c r="V364" s="4">
        <f>IF(ISERROR(VLOOKUP($S$364,'TAR FIN'!$A$1:$O$88,15,0)),0,VLOOKUP($S$364,'TAR FIN'!$A$1:$O$88,15,0))</f>
        <v>0</v>
      </c>
      <c r="W364" s="4">
        <f>IF(ISERROR(VLOOKUP($T$364,'TAR FIN'!$A$1:$O$88,15,0)),0,VLOOKUP($T$364,'TAR FIN'!$A$1:$O$88,15,0))</f>
        <v>441.31</v>
      </c>
      <c r="X364" s="4">
        <f>IF(ISERROR(VLOOKUP($U$364,'TAR FIN'!$A$1:$O$88,15,0)),0,VLOOKUP($U$364,'TAR FIN'!$A$1:$O$88,15,0))</f>
        <v>132.22999999999999</v>
      </c>
      <c r="Y364" s="4"/>
      <c r="Z364" s="4">
        <f ca="1">('TUSD BE'!$AM$33+'TUSD BF'!$AM$33+'TUSD CVA'!$AM$33)*(1-CUSTOS!$M$38)</f>
        <v>554.80001091929842</v>
      </c>
      <c r="AA364" s="4">
        <f>('TE BE'!$AB$23+'TE BF'!$AB$23+'TE CVA'!$AB$23)*(1-CUSTOS!$M$38)</f>
        <v>128.42529768213717</v>
      </c>
      <c r="AB364" s="4">
        <f>$K$364*$V$364</f>
        <v>0</v>
      </c>
      <c r="AC364" s="4">
        <f>$M$364*$W$364</f>
        <v>652.69749000000002</v>
      </c>
      <c r="AD364" s="4">
        <f>$O$364*$X$364</f>
        <v>195.56817000000001</v>
      </c>
      <c r="AE364" s="4">
        <f>$K$364*$Y$364</f>
        <v>0</v>
      </c>
      <c r="AF364" s="4">
        <f ca="1">$M$364*$Z$364</f>
        <v>820.54921614964246</v>
      </c>
      <c r="AG364" s="4">
        <f>$O$364*$AA$364</f>
        <v>189.9410152718809</v>
      </c>
    </row>
    <row r="365" spans="1:33" ht="11.25" customHeight="1" x14ac:dyDescent="0.25">
      <c r="A365" s="3" t="s">
        <v>21</v>
      </c>
      <c r="B365" s="3" t="s">
        <v>43</v>
      </c>
      <c r="C365" s="3" t="s">
        <v>23</v>
      </c>
      <c r="D365" s="3" t="s">
        <v>44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319.11</v>
      </c>
      <c r="M365" s="4">
        <v>319.11</v>
      </c>
      <c r="N365" s="4">
        <v>319.11</v>
      </c>
      <c r="O365" s="4">
        <v>319.11</v>
      </c>
      <c r="P365" s="4">
        <v>762</v>
      </c>
      <c r="Q365" s="3" t="s">
        <v>26</v>
      </c>
      <c r="R365" s="3">
        <v>0</v>
      </c>
      <c r="S365" s="4">
        <v>0</v>
      </c>
      <c r="T365" s="4">
        <v>55</v>
      </c>
      <c r="U365" s="4">
        <v>20</v>
      </c>
      <c r="V365" s="4">
        <f>IF(ISERROR(VLOOKUP($S$365,'TAR FIN'!$A$1:$O$88,15,0)),0,VLOOKUP($S$365,'TAR FIN'!$A$1:$O$88,15,0))</f>
        <v>0</v>
      </c>
      <c r="W365" s="4">
        <f>IF(ISERROR(VLOOKUP($T$365,'TAR FIN'!$A$1:$O$88,15,0)),0,VLOOKUP($T$365,'TAR FIN'!$A$1:$O$88,15,0))</f>
        <v>441.31</v>
      </c>
      <c r="X365" s="4">
        <f>IF(ISERROR(VLOOKUP($U$365,'TAR FIN'!$A$1:$O$88,15,0)),0,VLOOKUP($U$365,'TAR FIN'!$A$1:$O$88,15,0))</f>
        <v>132.22999999999999</v>
      </c>
      <c r="Y365" s="4"/>
      <c r="Z365" s="4">
        <f ca="1">('TUSD BE'!$AM$33+'TUSD BF'!$AM$33+'TUSD CVA'!$AM$33)*(1-CUSTOS!$M$38)</f>
        <v>554.80001091929842</v>
      </c>
      <c r="AA365" s="4">
        <f>('TE BE'!$AB$23+'TE BF'!$AB$23+'TE CVA'!$AB$23)*(1-CUSTOS!$M$38)</f>
        <v>128.42529768213717</v>
      </c>
      <c r="AB365" s="4">
        <f>$K$365*$V$365</f>
        <v>0</v>
      </c>
      <c r="AC365" s="4">
        <f>$M$365*$W$365</f>
        <v>140826.43410000001</v>
      </c>
      <c r="AD365" s="4">
        <f>$O$365*$X$365</f>
        <v>42195.915300000001</v>
      </c>
      <c r="AE365" s="4">
        <f>$K$365*$Y$365</f>
        <v>0</v>
      </c>
      <c r="AF365" s="4">
        <f ca="1">$M$365*$Z$365</f>
        <v>177042.23148445733</v>
      </c>
      <c r="AG365" s="4">
        <f>$O$365*$AA$365</f>
        <v>40981.796743346793</v>
      </c>
    </row>
    <row r="366" spans="1:33" ht="11.25" customHeight="1" x14ac:dyDescent="0.25">
      <c r="A366" s="3" t="s">
        <v>27</v>
      </c>
      <c r="B366" s="3" t="s">
        <v>43</v>
      </c>
      <c r="C366" s="3" t="s">
        <v>23</v>
      </c>
      <c r="D366" s="3" t="s">
        <v>44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44531</v>
      </c>
      <c r="J366" s="4">
        <v>0</v>
      </c>
      <c r="K366" s="4">
        <v>0</v>
      </c>
      <c r="L366" s="4">
        <v>-0.13400000000000001</v>
      </c>
      <c r="M366" s="4">
        <v>-0.13400000000000001</v>
      </c>
      <c r="N366" s="4">
        <v>-0.13400000000000001</v>
      </c>
      <c r="O366" s="4">
        <v>-0.13400000000000001</v>
      </c>
      <c r="P366" s="4">
        <v>0</v>
      </c>
      <c r="Q366" s="3" t="s">
        <v>26</v>
      </c>
      <c r="R366" s="3">
        <v>0</v>
      </c>
      <c r="S366" s="4">
        <v>0</v>
      </c>
      <c r="T366" s="4">
        <v>55</v>
      </c>
      <c r="U366" s="4">
        <v>20</v>
      </c>
      <c r="V366" s="4">
        <f>IF(ISERROR(VLOOKUP($S$366,'TAR FIN'!$A$1:$O$88,15,0)),0,VLOOKUP($S$366,'TAR FIN'!$A$1:$O$88,15,0))</f>
        <v>0</v>
      </c>
      <c r="W366" s="4">
        <f>IF(ISERROR(VLOOKUP($T$366,'TAR FIN'!$A$1:$O$88,15,0)),0,VLOOKUP($T$366,'TAR FIN'!$A$1:$O$88,15,0))</f>
        <v>441.31</v>
      </c>
      <c r="X366" s="4">
        <f>IF(ISERROR(VLOOKUP($U$366,'TAR FIN'!$A$1:$O$88,15,0)),0,VLOOKUP($U$366,'TAR FIN'!$A$1:$O$88,15,0))</f>
        <v>132.22999999999999</v>
      </c>
      <c r="Y366" s="4"/>
      <c r="Z366" s="4">
        <f ca="1">('TUSD BE'!$AM$33+'TUSD BF'!$AM$33+'TUSD CVA'!$AM$33)*(1-CUSTOS!$M$38)</f>
        <v>554.80001091929842</v>
      </c>
      <c r="AA366" s="4">
        <f>('TE BE'!$AB$23+'TE BF'!$AB$23+'TE CVA'!$AB$23)*(1-CUSTOS!$M$38)</f>
        <v>128.42529768213717</v>
      </c>
      <c r="AB366" s="4">
        <f>$K$366*$V$366</f>
        <v>0</v>
      </c>
      <c r="AC366" s="4">
        <f>$M$366*$W$366</f>
        <v>-59.135540000000006</v>
      </c>
      <c r="AD366" s="4">
        <f>$O$366*$X$366</f>
        <v>-17.718820000000001</v>
      </c>
      <c r="AE366" s="4">
        <f>$K$366*$Y$366</f>
        <v>0</v>
      </c>
      <c r="AF366" s="4">
        <f ca="1">$M$366*$Z$366</f>
        <v>-74.343201463185991</v>
      </c>
      <c r="AG366" s="4">
        <f>$O$366*$AA$366</f>
        <v>-17.208989889406382</v>
      </c>
    </row>
    <row r="367" spans="1:33" ht="11.25" customHeight="1" x14ac:dyDescent="0.25">
      <c r="A367" s="3" t="s">
        <v>28</v>
      </c>
      <c r="B367" s="3" t="s">
        <v>43</v>
      </c>
      <c r="C367" s="3" t="s">
        <v>23</v>
      </c>
      <c r="D367" s="3" t="s">
        <v>44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44531</v>
      </c>
      <c r="J367" s="4">
        <v>0</v>
      </c>
      <c r="K367" s="4">
        <v>0</v>
      </c>
      <c r="L367" s="4">
        <v>2.0459999999999998</v>
      </c>
      <c r="M367" s="4">
        <v>2.0459999999999998</v>
      </c>
      <c r="N367" s="4">
        <v>2.0459999999999998</v>
      </c>
      <c r="O367" s="4">
        <v>2.0459999999999998</v>
      </c>
      <c r="P367" s="4">
        <v>8</v>
      </c>
      <c r="Q367" s="3" t="s">
        <v>26</v>
      </c>
      <c r="R367" s="3">
        <v>0</v>
      </c>
      <c r="S367" s="4">
        <v>0</v>
      </c>
      <c r="T367" s="4">
        <v>55</v>
      </c>
      <c r="U367" s="4">
        <v>20</v>
      </c>
      <c r="V367" s="4">
        <f>IF(ISERROR(VLOOKUP($S$367,'TAR FIN'!$A$1:$O$88,15,0)),0,VLOOKUP($S$367,'TAR FIN'!$A$1:$O$88,15,0))</f>
        <v>0</v>
      </c>
      <c r="W367" s="4">
        <f>IF(ISERROR(VLOOKUP($T$367,'TAR FIN'!$A$1:$O$88,15,0)),0,VLOOKUP($T$367,'TAR FIN'!$A$1:$O$88,15,0))</f>
        <v>441.31</v>
      </c>
      <c r="X367" s="4">
        <f>IF(ISERROR(VLOOKUP($U$367,'TAR FIN'!$A$1:$O$88,15,0)),0,VLOOKUP($U$367,'TAR FIN'!$A$1:$O$88,15,0))</f>
        <v>132.22999999999999</v>
      </c>
      <c r="Y367" s="4"/>
      <c r="Z367" s="4">
        <f ca="1">('TUSD BE'!$AM$33+'TUSD BF'!$AM$33+'TUSD CVA'!$AM$33)*(1-CUSTOS!$M$38)</f>
        <v>554.80001091929842</v>
      </c>
      <c r="AA367" s="4">
        <f>('TE BE'!$AB$23+'TE BF'!$AB$23+'TE CVA'!$AB$23)*(1-CUSTOS!$M$38)</f>
        <v>128.42529768213717</v>
      </c>
      <c r="AB367" s="4">
        <f>$K$367*$V$367</f>
        <v>0</v>
      </c>
      <c r="AC367" s="4">
        <f>$M$367*$W$367</f>
        <v>902.92025999999987</v>
      </c>
      <c r="AD367" s="4">
        <f>$O$367*$X$367</f>
        <v>270.54257999999993</v>
      </c>
      <c r="AE367" s="4">
        <f>$K$367*$Y$367</f>
        <v>0</v>
      </c>
      <c r="AF367" s="4">
        <f ca="1">$M$367*$Z$367</f>
        <v>1135.1208223408844</v>
      </c>
      <c r="AG367" s="4">
        <f>$O$367*$AA$367</f>
        <v>262.75815905765262</v>
      </c>
    </row>
    <row r="368" spans="1:33" ht="11.25" customHeight="1" x14ac:dyDescent="0.25">
      <c r="A368" s="3" t="s">
        <v>21</v>
      </c>
      <c r="B368" s="3" t="s">
        <v>43</v>
      </c>
      <c r="C368" s="3" t="s">
        <v>23</v>
      </c>
      <c r="D368" s="3" t="s">
        <v>44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318.49099999999999</v>
      </c>
      <c r="M368" s="4">
        <v>318.49099999999999</v>
      </c>
      <c r="N368" s="4">
        <v>318.49099999999999</v>
      </c>
      <c r="O368" s="4">
        <v>318.49099999999999</v>
      </c>
      <c r="P368" s="4">
        <v>759</v>
      </c>
      <c r="Q368" s="3" t="s">
        <v>26</v>
      </c>
      <c r="R368" s="3">
        <v>0</v>
      </c>
      <c r="S368" s="4">
        <v>0</v>
      </c>
      <c r="T368" s="4">
        <v>55</v>
      </c>
      <c r="U368" s="4">
        <v>20</v>
      </c>
      <c r="V368" s="4">
        <f>IF(ISERROR(VLOOKUP($S$368,'TAR FIN'!$A$1:$O$88,15,0)),0,VLOOKUP($S$368,'TAR FIN'!$A$1:$O$88,15,0))</f>
        <v>0</v>
      </c>
      <c r="W368" s="4">
        <f>IF(ISERROR(VLOOKUP($T$368,'TAR FIN'!$A$1:$O$88,15,0)),0,VLOOKUP($T$368,'TAR FIN'!$A$1:$O$88,15,0))</f>
        <v>441.31</v>
      </c>
      <c r="X368" s="4">
        <f>IF(ISERROR(VLOOKUP($U$368,'TAR FIN'!$A$1:$O$88,15,0)),0,VLOOKUP($U$368,'TAR FIN'!$A$1:$O$88,15,0))</f>
        <v>132.22999999999999</v>
      </c>
      <c r="Y368" s="4"/>
      <c r="Z368" s="4">
        <f ca="1">('TUSD BE'!$AM$33+'TUSD BF'!$AM$33+'TUSD CVA'!$AM$33)*(1-CUSTOS!$M$38)</f>
        <v>554.80001091929842</v>
      </c>
      <c r="AA368" s="4">
        <f>('TE BE'!$AB$23+'TE BF'!$AB$23+'TE CVA'!$AB$23)*(1-CUSTOS!$M$38)</f>
        <v>128.42529768213717</v>
      </c>
      <c r="AB368" s="4">
        <f>$K$368*$V$368</f>
        <v>0</v>
      </c>
      <c r="AC368" s="4">
        <f>$M$368*$W$368</f>
        <v>140553.26321</v>
      </c>
      <c r="AD368" s="4">
        <f>$O$368*$X$368</f>
        <v>42114.064929999993</v>
      </c>
      <c r="AE368" s="4">
        <f>$K$368*$Y$368</f>
        <v>0</v>
      </c>
      <c r="AF368" s="4">
        <f ca="1">$M$368*$Z$368</f>
        <v>176698.81027769827</v>
      </c>
      <c r="AG368" s="4">
        <f>$O$368*$AA$368</f>
        <v>40902.301484081545</v>
      </c>
    </row>
    <row r="369" spans="1:33" ht="11.25" customHeight="1" x14ac:dyDescent="0.25">
      <c r="A369" s="3" t="s">
        <v>28</v>
      </c>
      <c r="B369" s="3" t="s">
        <v>43</v>
      </c>
      <c r="C369" s="3" t="s">
        <v>23</v>
      </c>
      <c r="D369" s="3" t="s">
        <v>44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44562</v>
      </c>
      <c r="J369" s="4">
        <v>0</v>
      </c>
      <c r="K369" s="4">
        <v>0</v>
      </c>
      <c r="L369" s="4">
        <v>3.1779999999999999</v>
      </c>
      <c r="M369" s="4">
        <v>3.1779999999999999</v>
      </c>
      <c r="N369" s="4">
        <v>3.1779999999999999</v>
      </c>
      <c r="O369" s="4">
        <v>3.1779999999999999</v>
      </c>
      <c r="P369" s="4">
        <v>10</v>
      </c>
      <c r="Q369" s="3" t="s">
        <v>26</v>
      </c>
      <c r="R369" s="3">
        <v>0</v>
      </c>
      <c r="S369" s="4">
        <v>0</v>
      </c>
      <c r="T369" s="4">
        <v>55</v>
      </c>
      <c r="U369" s="4">
        <v>20</v>
      </c>
      <c r="V369" s="4">
        <f>IF(ISERROR(VLOOKUP($S$369,'TAR FIN'!$A$1:$O$88,15,0)),0,VLOOKUP($S$369,'TAR FIN'!$A$1:$O$88,15,0))</f>
        <v>0</v>
      </c>
      <c r="W369" s="4">
        <f>IF(ISERROR(VLOOKUP($T$369,'TAR FIN'!$A$1:$O$88,15,0)),0,VLOOKUP($T$369,'TAR FIN'!$A$1:$O$88,15,0))</f>
        <v>441.31</v>
      </c>
      <c r="X369" s="4">
        <f>IF(ISERROR(VLOOKUP($U$369,'TAR FIN'!$A$1:$O$88,15,0)),0,VLOOKUP($U$369,'TAR FIN'!$A$1:$O$88,15,0))</f>
        <v>132.22999999999999</v>
      </c>
      <c r="Y369" s="4"/>
      <c r="Z369" s="4">
        <f ca="1">('TUSD BE'!$AM$33+'TUSD BF'!$AM$33+'TUSD CVA'!$AM$33)*(1-CUSTOS!$M$38)</f>
        <v>554.80001091929842</v>
      </c>
      <c r="AA369" s="4">
        <f>('TE BE'!$AB$23+'TE BF'!$AB$23+'TE CVA'!$AB$23)*(1-CUSTOS!$M$38)</f>
        <v>128.42529768213717</v>
      </c>
      <c r="AB369" s="4">
        <f>$K$369*$V$369</f>
        <v>0</v>
      </c>
      <c r="AC369" s="4">
        <f>$M$369*$W$369</f>
        <v>1402.4831799999999</v>
      </c>
      <c r="AD369" s="4">
        <f>$O$369*$X$369</f>
        <v>420.22693999999996</v>
      </c>
      <c r="AE369" s="4">
        <f>$K$369*$Y$369</f>
        <v>0</v>
      </c>
      <c r="AF369" s="4">
        <f ca="1">$M$369*$Z$369</f>
        <v>1763.1544347015304</v>
      </c>
      <c r="AG369" s="4">
        <f>$O$369*$AA$369</f>
        <v>408.13559603383192</v>
      </c>
    </row>
    <row r="370" spans="1:33" ht="11.25" customHeight="1" x14ac:dyDescent="0.25">
      <c r="A370" s="3" t="s">
        <v>21</v>
      </c>
      <c r="B370" s="3" t="s">
        <v>43</v>
      </c>
      <c r="C370" s="3" t="s">
        <v>23</v>
      </c>
      <c r="D370" s="3" t="s">
        <v>44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268.94799999999998</v>
      </c>
      <c r="M370" s="4">
        <v>268.94799999999998</v>
      </c>
      <c r="N370" s="4">
        <v>268.94799999999998</v>
      </c>
      <c r="O370" s="4">
        <v>268.94799999999998</v>
      </c>
      <c r="P370" s="4">
        <v>755</v>
      </c>
      <c r="Q370" s="3" t="s">
        <v>26</v>
      </c>
      <c r="R370" s="3">
        <v>0</v>
      </c>
      <c r="S370" s="4">
        <v>0</v>
      </c>
      <c r="T370" s="4">
        <v>55</v>
      </c>
      <c r="U370" s="4">
        <v>20</v>
      </c>
      <c r="V370" s="4">
        <f>IF(ISERROR(VLOOKUP($S$370,'TAR FIN'!$A$1:$O$88,15,0)),0,VLOOKUP($S$370,'TAR FIN'!$A$1:$O$88,15,0))</f>
        <v>0</v>
      </c>
      <c r="W370" s="4">
        <f>IF(ISERROR(VLOOKUP($T$370,'TAR FIN'!$A$1:$O$88,15,0)),0,VLOOKUP($T$370,'TAR FIN'!$A$1:$O$88,15,0))</f>
        <v>441.31</v>
      </c>
      <c r="X370" s="4">
        <f>IF(ISERROR(VLOOKUP($U$370,'TAR FIN'!$A$1:$O$88,15,0)),0,VLOOKUP($U$370,'TAR FIN'!$A$1:$O$88,15,0))</f>
        <v>132.22999999999999</v>
      </c>
      <c r="Y370" s="4"/>
      <c r="Z370" s="4">
        <f ca="1">('TUSD BE'!$AM$33+'TUSD BF'!$AM$33+'TUSD CVA'!$AM$33)*(1-CUSTOS!$M$38)</f>
        <v>554.80001091929842</v>
      </c>
      <c r="AA370" s="4">
        <f>('TE BE'!$AB$23+'TE BF'!$AB$23+'TE CVA'!$AB$23)*(1-CUSTOS!$M$38)</f>
        <v>128.42529768213717</v>
      </c>
      <c r="AB370" s="4">
        <f>$K$370*$V$370</f>
        <v>0</v>
      </c>
      <c r="AC370" s="4">
        <f>$M$370*$W$370</f>
        <v>118689.44188</v>
      </c>
      <c r="AD370" s="4">
        <f>$O$370*$X$370</f>
        <v>35562.994039999998</v>
      </c>
      <c r="AE370" s="4">
        <f>$K$370*$Y$370</f>
        <v>0</v>
      </c>
      <c r="AF370" s="4">
        <f ca="1">$M$370*$Z$370</f>
        <v>149212.35333672346</v>
      </c>
      <c r="AG370" s="4">
        <f>$O$370*$AA$370</f>
        <v>34539.726961015425</v>
      </c>
    </row>
    <row r="371" spans="1:33" ht="11.25" customHeight="1" x14ac:dyDescent="0.25">
      <c r="A371" s="3" t="s">
        <v>27</v>
      </c>
      <c r="B371" s="3" t="s">
        <v>43</v>
      </c>
      <c r="C371" s="3" t="s">
        <v>23</v>
      </c>
      <c r="D371" s="3" t="s">
        <v>44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44593</v>
      </c>
      <c r="J371" s="4">
        <v>0</v>
      </c>
      <c r="K371" s="4">
        <v>0</v>
      </c>
      <c r="L371" s="4">
        <v>-0.13300000000000001</v>
      </c>
      <c r="M371" s="4">
        <v>-0.13300000000000001</v>
      </c>
      <c r="N371" s="4">
        <v>-0.13300000000000001</v>
      </c>
      <c r="O371" s="4">
        <v>-0.13300000000000001</v>
      </c>
      <c r="P371" s="4">
        <v>0</v>
      </c>
      <c r="Q371" s="3" t="s">
        <v>26</v>
      </c>
      <c r="R371" s="3">
        <v>0</v>
      </c>
      <c r="S371" s="4">
        <v>0</v>
      </c>
      <c r="T371" s="4">
        <v>55</v>
      </c>
      <c r="U371" s="4">
        <v>20</v>
      </c>
      <c r="V371" s="4">
        <f>IF(ISERROR(VLOOKUP($S$371,'TAR FIN'!$A$1:$O$88,15,0)),0,VLOOKUP($S$371,'TAR FIN'!$A$1:$O$88,15,0))</f>
        <v>0</v>
      </c>
      <c r="W371" s="4">
        <f>IF(ISERROR(VLOOKUP($T$371,'TAR FIN'!$A$1:$O$88,15,0)),0,VLOOKUP($T$371,'TAR FIN'!$A$1:$O$88,15,0))</f>
        <v>441.31</v>
      </c>
      <c r="X371" s="4">
        <f>IF(ISERROR(VLOOKUP($U$371,'TAR FIN'!$A$1:$O$88,15,0)),0,VLOOKUP($U$371,'TAR FIN'!$A$1:$O$88,15,0))</f>
        <v>132.22999999999999</v>
      </c>
      <c r="Y371" s="4"/>
      <c r="Z371" s="4">
        <f ca="1">('TUSD BE'!$AM$33+'TUSD BF'!$AM$33+'TUSD CVA'!$AM$33)*(1-CUSTOS!$M$38)</f>
        <v>554.80001091929842</v>
      </c>
      <c r="AA371" s="4">
        <f>('TE BE'!$AB$23+'TE BF'!$AB$23+'TE CVA'!$AB$23)*(1-CUSTOS!$M$38)</f>
        <v>128.42529768213717</v>
      </c>
      <c r="AB371" s="4">
        <f>$K$371*$V$371</f>
        <v>0</v>
      </c>
      <c r="AC371" s="4">
        <f>$M$371*$W$371</f>
        <v>-58.694230000000005</v>
      </c>
      <c r="AD371" s="4">
        <f>$O$371*$X$371</f>
        <v>-17.586590000000001</v>
      </c>
      <c r="AE371" s="4">
        <f>$K$371*$Y$371</f>
        <v>0</v>
      </c>
      <c r="AF371" s="4">
        <f ca="1">$M$371*$Z$371</f>
        <v>-73.788401452266697</v>
      </c>
      <c r="AG371" s="4">
        <f>$O$371*$AA$371</f>
        <v>-17.080564591724244</v>
      </c>
    </row>
    <row r="372" spans="1:33" ht="11.25" customHeight="1" x14ac:dyDescent="0.25">
      <c r="A372" s="3" t="s">
        <v>28</v>
      </c>
      <c r="B372" s="3" t="s">
        <v>43</v>
      </c>
      <c r="C372" s="3" t="s">
        <v>23</v>
      </c>
      <c r="D372" s="3" t="s">
        <v>44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44593</v>
      </c>
      <c r="J372" s="4">
        <v>0</v>
      </c>
      <c r="K372" s="4">
        <v>0</v>
      </c>
      <c r="L372" s="4">
        <v>1.24</v>
      </c>
      <c r="M372" s="4">
        <v>1.24</v>
      </c>
      <c r="N372" s="4">
        <v>1.24</v>
      </c>
      <c r="O372" s="4">
        <v>1.24</v>
      </c>
      <c r="P372" s="4">
        <v>10</v>
      </c>
      <c r="Q372" s="3" t="s">
        <v>26</v>
      </c>
      <c r="R372" s="3">
        <v>0</v>
      </c>
      <c r="S372" s="4">
        <v>0</v>
      </c>
      <c r="T372" s="4">
        <v>55</v>
      </c>
      <c r="U372" s="4">
        <v>20</v>
      </c>
      <c r="V372" s="4">
        <f>IF(ISERROR(VLOOKUP($S$372,'TAR FIN'!$A$1:$O$88,15,0)),0,VLOOKUP($S$372,'TAR FIN'!$A$1:$O$88,15,0))</f>
        <v>0</v>
      </c>
      <c r="W372" s="4">
        <f>IF(ISERROR(VLOOKUP($T$372,'TAR FIN'!$A$1:$O$88,15,0)),0,VLOOKUP($T$372,'TAR FIN'!$A$1:$O$88,15,0))</f>
        <v>441.31</v>
      </c>
      <c r="X372" s="4">
        <f>IF(ISERROR(VLOOKUP($U$372,'TAR FIN'!$A$1:$O$88,15,0)),0,VLOOKUP($U$372,'TAR FIN'!$A$1:$O$88,15,0))</f>
        <v>132.22999999999999</v>
      </c>
      <c r="Y372" s="4"/>
      <c r="Z372" s="4">
        <f ca="1">('TUSD BE'!$AM$33+'TUSD BF'!$AM$33+'TUSD CVA'!$AM$33)*(1-CUSTOS!$M$38)</f>
        <v>554.80001091929842</v>
      </c>
      <c r="AA372" s="4">
        <f>('TE BE'!$AB$23+'TE BF'!$AB$23+'TE CVA'!$AB$23)*(1-CUSTOS!$M$38)</f>
        <v>128.42529768213717</v>
      </c>
      <c r="AB372" s="4">
        <f>$K$372*$V$372</f>
        <v>0</v>
      </c>
      <c r="AC372" s="4">
        <f>$M$372*$W$372</f>
        <v>547.22439999999995</v>
      </c>
      <c r="AD372" s="4">
        <f>$O$372*$X$372</f>
        <v>163.96519999999998</v>
      </c>
      <c r="AE372" s="4">
        <f>$K$372*$Y$372</f>
        <v>0</v>
      </c>
      <c r="AF372" s="4">
        <f ca="1">$M$372*$Z$372</f>
        <v>687.95201353993002</v>
      </c>
      <c r="AG372" s="4">
        <f>$O$372*$AA$372</f>
        <v>159.2473691258501</v>
      </c>
    </row>
    <row r="373" spans="1:33" ht="11.25" customHeight="1" x14ac:dyDescent="0.25">
      <c r="A373" s="3" t="s">
        <v>21</v>
      </c>
      <c r="B373" s="3" t="s">
        <v>43</v>
      </c>
      <c r="C373" s="3" t="s">
        <v>23</v>
      </c>
      <c r="D373" s="3" t="s">
        <v>44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247.32499999999999</v>
      </c>
      <c r="M373" s="4">
        <v>247.32499999999999</v>
      </c>
      <c r="N373" s="4">
        <v>247.32499999999999</v>
      </c>
      <c r="O373" s="4">
        <v>247.32499999999999</v>
      </c>
      <c r="P373" s="4">
        <v>753</v>
      </c>
      <c r="Q373" s="3" t="s">
        <v>26</v>
      </c>
      <c r="R373" s="3">
        <v>0</v>
      </c>
      <c r="S373" s="4">
        <v>0</v>
      </c>
      <c r="T373" s="4">
        <v>55</v>
      </c>
      <c r="U373" s="4">
        <v>20</v>
      </c>
      <c r="V373" s="4">
        <f>IF(ISERROR(VLOOKUP($S$373,'TAR FIN'!$A$1:$O$88,15,0)),0,VLOOKUP($S$373,'TAR FIN'!$A$1:$O$88,15,0))</f>
        <v>0</v>
      </c>
      <c r="W373" s="4">
        <f>IF(ISERROR(VLOOKUP($T$373,'TAR FIN'!$A$1:$O$88,15,0)),0,VLOOKUP($T$373,'TAR FIN'!$A$1:$O$88,15,0))</f>
        <v>441.31</v>
      </c>
      <c r="X373" s="4">
        <f>IF(ISERROR(VLOOKUP($U$373,'TAR FIN'!$A$1:$O$88,15,0)),0,VLOOKUP($U$373,'TAR FIN'!$A$1:$O$88,15,0))</f>
        <v>132.22999999999999</v>
      </c>
      <c r="Y373" s="4"/>
      <c r="Z373" s="4">
        <f ca="1">('TUSD BE'!$AM$33+'TUSD BF'!$AM$33+'TUSD CVA'!$AM$33)*(1-CUSTOS!$M$38)</f>
        <v>554.80001091929842</v>
      </c>
      <c r="AA373" s="4">
        <f>('TE BE'!$AB$23+'TE BF'!$AB$23+'TE CVA'!$AB$23)*(1-CUSTOS!$M$38)</f>
        <v>128.42529768213717</v>
      </c>
      <c r="AB373" s="4">
        <f>$K$373*$V$373</f>
        <v>0</v>
      </c>
      <c r="AC373" s="4">
        <f>$M$373*$W$373</f>
        <v>109146.99575</v>
      </c>
      <c r="AD373" s="4">
        <f>$O$373*$X$373</f>
        <v>32703.784749999995</v>
      </c>
      <c r="AE373" s="4">
        <f>$K$373*$Y$373</f>
        <v>0</v>
      </c>
      <c r="AF373" s="4">
        <f ca="1">$M$373*$Z$373</f>
        <v>137215.91270061547</v>
      </c>
      <c r="AG373" s="4">
        <f>$O$373*$AA$373</f>
        <v>31762.786749234576</v>
      </c>
    </row>
    <row r="374" spans="1:33" ht="11.25" customHeight="1" x14ac:dyDescent="0.25">
      <c r="A374" s="3" t="s">
        <v>27</v>
      </c>
      <c r="B374" s="3" t="s">
        <v>43</v>
      </c>
      <c r="C374" s="3" t="s">
        <v>23</v>
      </c>
      <c r="D374" s="3" t="s">
        <v>44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4">
        <v>0</v>
      </c>
      <c r="L374" s="4">
        <v>-0.27300000000000002</v>
      </c>
      <c r="M374" s="4">
        <v>-0.27300000000000002</v>
      </c>
      <c r="N374" s="4">
        <v>-0.27300000000000002</v>
      </c>
      <c r="O374" s="4">
        <v>-0.27300000000000002</v>
      </c>
      <c r="P374" s="4">
        <v>0</v>
      </c>
      <c r="Q374" s="3" t="s">
        <v>26</v>
      </c>
      <c r="R374" s="3">
        <v>0</v>
      </c>
      <c r="S374" s="4">
        <v>0</v>
      </c>
      <c r="T374" s="4">
        <v>55</v>
      </c>
      <c r="U374" s="4">
        <v>20</v>
      </c>
      <c r="V374" s="4">
        <f>IF(ISERROR(VLOOKUP($S$374,'TAR FIN'!$A$1:$O$88,15,0)),0,VLOOKUP($S$374,'TAR FIN'!$A$1:$O$88,15,0))</f>
        <v>0</v>
      </c>
      <c r="W374" s="4">
        <f>IF(ISERROR(VLOOKUP($T$374,'TAR FIN'!$A$1:$O$88,15,0)),0,VLOOKUP($T$374,'TAR FIN'!$A$1:$O$88,15,0))</f>
        <v>441.31</v>
      </c>
      <c r="X374" s="4">
        <f>IF(ISERROR(VLOOKUP($U$374,'TAR FIN'!$A$1:$O$88,15,0)),0,VLOOKUP($U$374,'TAR FIN'!$A$1:$O$88,15,0))</f>
        <v>132.22999999999999</v>
      </c>
      <c r="Y374" s="4"/>
      <c r="Z374" s="4">
        <f ca="1">('TUSD BE'!$AM$33+'TUSD BF'!$AM$33+'TUSD CVA'!$AM$33)*(1-CUSTOS!$M$38)</f>
        <v>554.80001091929842</v>
      </c>
      <c r="AA374" s="4">
        <f>('TE BE'!$AB$23+'TE BF'!$AB$23+'TE CVA'!$AB$23)*(1-CUSTOS!$M$38)</f>
        <v>128.42529768213717</v>
      </c>
      <c r="AB374" s="4">
        <f>$K$374*$V$374</f>
        <v>0</v>
      </c>
      <c r="AC374" s="4">
        <f>$M$374*$W$374</f>
        <v>-120.47763</v>
      </c>
      <c r="AD374" s="4">
        <f>$O$374*$X$374</f>
        <v>-36.098790000000001</v>
      </c>
      <c r="AE374" s="4">
        <f>$K$374*$Y$374</f>
        <v>0</v>
      </c>
      <c r="AF374" s="4">
        <f ca="1">$M$374*$Z$374</f>
        <v>-151.46040298096847</v>
      </c>
      <c r="AG374" s="4">
        <f>$O$374*$AA$374</f>
        <v>-35.060106267223453</v>
      </c>
    </row>
    <row r="375" spans="1:33" ht="11.25" customHeight="1" x14ac:dyDescent="0.25">
      <c r="A375" s="3" t="s">
        <v>28</v>
      </c>
      <c r="B375" s="3" t="s">
        <v>43</v>
      </c>
      <c r="C375" s="3" t="s">
        <v>23</v>
      </c>
      <c r="D375" s="3" t="s">
        <v>44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44621</v>
      </c>
      <c r="J375" s="4">
        <v>0</v>
      </c>
      <c r="K375" s="4">
        <v>0</v>
      </c>
      <c r="L375" s="4">
        <v>4.9139999999999997</v>
      </c>
      <c r="M375" s="4">
        <v>4.9139999999999997</v>
      </c>
      <c r="N375" s="4">
        <v>4.9139999999999997</v>
      </c>
      <c r="O375" s="4">
        <v>4.9139999999999997</v>
      </c>
      <c r="P375" s="4">
        <v>12</v>
      </c>
      <c r="Q375" s="3" t="s">
        <v>26</v>
      </c>
      <c r="R375" s="3">
        <v>0</v>
      </c>
      <c r="S375" s="4">
        <v>0</v>
      </c>
      <c r="T375" s="4">
        <v>55</v>
      </c>
      <c r="U375" s="4">
        <v>20</v>
      </c>
      <c r="V375" s="4">
        <f>IF(ISERROR(VLOOKUP($S$375,'TAR FIN'!$A$1:$O$88,15,0)),0,VLOOKUP($S$375,'TAR FIN'!$A$1:$O$88,15,0))</f>
        <v>0</v>
      </c>
      <c r="W375" s="4">
        <f>IF(ISERROR(VLOOKUP($T$375,'TAR FIN'!$A$1:$O$88,15,0)),0,VLOOKUP($T$375,'TAR FIN'!$A$1:$O$88,15,0))</f>
        <v>441.31</v>
      </c>
      <c r="X375" s="4">
        <f>IF(ISERROR(VLOOKUP($U$375,'TAR FIN'!$A$1:$O$88,15,0)),0,VLOOKUP($U$375,'TAR FIN'!$A$1:$O$88,15,0))</f>
        <v>132.22999999999999</v>
      </c>
      <c r="Y375" s="4"/>
      <c r="Z375" s="4">
        <f ca="1">('TUSD BE'!$AM$33+'TUSD BF'!$AM$33+'TUSD CVA'!$AM$33)*(1-CUSTOS!$M$38)</f>
        <v>554.80001091929842</v>
      </c>
      <c r="AA375" s="4">
        <f>('TE BE'!$AB$23+'TE BF'!$AB$23+'TE CVA'!$AB$23)*(1-CUSTOS!$M$38)</f>
        <v>128.42529768213717</v>
      </c>
      <c r="AB375" s="4">
        <f>$K$375*$V$375</f>
        <v>0</v>
      </c>
      <c r="AC375" s="4">
        <f>$M$375*$W$375</f>
        <v>2168.5973399999998</v>
      </c>
      <c r="AD375" s="4">
        <f>$O$375*$X$375</f>
        <v>649.77821999999992</v>
      </c>
      <c r="AE375" s="4">
        <f>$K$375*$Y$375</f>
        <v>0</v>
      </c>
      <c r="AF375" s="4">
        <f ca="1">$M$375*$Z$375</f>
        <v>2726.2872536574323</v>
      </c>
      <c r="AG375" s="4">
        <f>$O$375*$AA$375</f>
        <v>631.081912810022</v>
      </c>
    </row>
    <row r="376" spans="1:33" ht="11.25" customHeight="1" x14ac:dyDescent="0.25">
      <c r="A376" s="3" t="s">
        <v>21</v>
      </c>
      <c r="B376" s="3" t="s">
        <v>43</v>
      </c>
      <c r="C376" s="3" t="s">
        <v>23</v>
      </c>
      <c r="D376" s="3" t="s">
        <v>44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226.661</v>
      </c>
      <c r="M376" s="4">
        <v>226.661</v>
      </c>
      <c r="N376" s="4">
        <v>226.661</v>
      </c>
      <c r="O376" s="4">
        <v>226.661</v>
      </c>
      <c r="P376" s="4">
        <v>756</v>
      </c>
      <c r="Q376" s="3" t="s">
        <v>26</v>
      </c>
      <c r="R376" s="3">
        <v>0</v>
      </c>
      <c r="S376" s="4">
        <v>0</v>
      </c>
      <c r="T376" s="4">
        <v>55</v>
      </c>
      <c r="U376" s="4">
        <v>20</v>
      </c>
      <c r="V376" s="4">
        <f>IF(ISERROR(VLOOKUP($S$376,'TAR FIN'!$A$1:$O$88,15,0)),0,VLOOKUP($S$376,'TAR FIN'!$A$1:$O$88,15,0))</f>
        <v>0</v>
      </c>
      <c r="W376" s="4">
        <f>IF(ISERROR(VLOOKUP($T$376,'TAR FIN'!$A$1:$O$88,15,0)),0,VLOOKUP($T$376,'TAR FIN'!$A$1:$O$88,15,0))</f>
        <v>441.31</v>
      </c>
      <c r="X376" s="4">
        <f>IF(ISERROR(VLOOKUP($U$376,'TAR FIN'!$A$1:$O$88,15,0)),0,VLOOKUP($U$376,'TAR FIN'!$A$1:$O$88,15,0))</f>
        <v>132.22999999999999</v>
      </c>
      <c r="Y376" s="4"/>
      <c r="Z376" s="4">
        <f ca="1">('TUSD BE'!$AM$33+'TUSD BF'!$AM$33+'TUSD CVA'!$AM$33)*(1-CUSTOS!$M$38)</f>
        <v>554.80001091929842</v>
      </c>
      <c r="AA376" s="4">
        <f>('TE BE'!$AB$23+'TE BF'!$AB$23+'TE CVA'!$AB$23)*(1-CUSTOS!$M$38)</f>
        <v>128.42529768213717</v>
      </c>
      <c r="AB376" s="4">
        <f>$K$376*$V$376</f>
        <v>0</v>
      </c>
      <c r="AC376" s="4">
        <f>$M$376*$W$376</f>
        <v>100027.76591</v>
      </c>
      <c r="AD376" s="4">
        <f>$O$376*$X$376</f>
        <v>29971.384029999997</v>
      </c>
      <c r="AE376" s="4">
        <f>$K$376*$Y$376</f>
        <v>0</v>
      </c>
      <c r="AF376" s="4">
        <f ca="1">$M$376*$Z$376</f>
        <v>125751.5252749791</v>
      </c>
      <c r="AG376" s="4">
        <f>$O$376*$AA$376</f>
        <v>29109.006397930894</v>
      </c>
    </row>
    <row r="377" spans="1:33" ht="11.25" customHeight="1" x14ac:dyDescent="0.25">
      <c r="A377" s="3" t="s">
        <v>27</v>
      </c>
      <c r="B377" s="3" t="s">
        <v>43</v>
      </c>
      <c r="C377" s="3" t="s">
        <v>23</v>
      </c>
      <c r="D377" s="3" t="s">
        <v>44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44652</v>
      </c>
      <c r="J377" s="4">
        <v>0</v>
      </c>
      <c r="K377" s="4">
        <v>0</v>
      </c>
      <c r="L377" s="4">
        <v>-0.55200000000000005</v>
      </c>
      <c r="M377" s="4">
        <v>-0.55200000000000005</v>
      </c>
      <c r="N377" s="4">
        <v>-0.55200000000000005</v>
      </c>
      <c r="O377" s="4">
        <v>-0.55200000000000005</v>
      </c>
      <c r="P377" s="4">
        <v>0</v>
      </c>
      <c r="Q377" s="3" t="s">
        <v>26</v>
      </c>
      <c r="R377" s="3">
        <v>0</v>
      </c>
      <c r="S377" s="4">
        <v>0</v>
      </c>
      <c r="T377" s="4">
        <v>55</v>
      </c>
      <c r="U377" s="4">
        <v>20</v>
      </c>
      <c r="V377" s="4">
        <f>IF(ISERROR(VLOOKUP($S$377,'TAR FIN'!$A$1:$O$88,15,0)),0,VLOOKUP($S$377,'TAR FIN'!$A$1:$O$88,15,0))</f>
        <v>0</v>
      </c>
      <c r="W377" s="4">
        <f>IF(ISERROR(VLOOKUP($T$377,'TAR FIN'!$A$1:$O$88,15,0)),0,VLOOKUP($T$377,'TAR FIN'!$A$1:$O$88,15,0))</f>
        <v>441.31</v>
      </c>
      <c r="X377" s="4">
        <f>IF(ISERROR(VLOOKUP($U$377,'TAR FIN'!$A$1:$O$88,15,0)),0,VLOOKUP($U$377,'TAR FIN'!$A$1:$O$88,15,0))</f>
        <v>132.22999999999999</v>
      </c>
      <c r="Y377" s="4"/>
      <c r="Z377" s="4">
        <f ca="1">('TUSD BE'!$AM$33+'TUSD BF'!$AM$33+'TUSD CVA'!$AM$33)*(1-CUSTOS!$M$38)</f>
        <v>554.80001091929842</v>
      </c>
      <c r="AA377" s="4">
        <f>('TE BE'!$AB$23+'TE BF'!$AB$23+'TE CVA'!$AB$23)*(1-CUSTOS!$M$38)</f>
        <v>128.42529768213717</v>
      </c>
      <c r="AB377" s="4">
        <f>$K$377*$V$377</f>
        <v>0</v>
      </c>
      <c r="AC377" s="4">
        <f>$M$377*$W$377</f>
        <v>-243.60312000000002</v>
      </c>
      <c r="AD377" s="4">
        <f>$O$377*$X$377</f>
        <v>-72.990960000000001</v>
      </c>
      <c r="AE377" s="4">
        <f>$K$377*$Y$377</f>
        <v>0</v>
      </c>
      <c r="AF377" s="4">
        <f ca="1">$M$377*$Z$377</f>
        <v>-306.24960602745273</v>
      </c>
      <c r="AG377" s="4">
        <f>$O$377*$AA$377</f>
        <v>-70.890764320539731</v>
      </c>
    </row>
    <row r="378" spans="1:33" ht="11.25" customHeight="1" x14ac:dyDescent="0.25">
      <c r="A378" s="3" t="s">
        <v>28</v>
      </c>
      <c r="B378" s="3" t="s">
        <v>43</v>
      </c>
      <c r="C378" s="3" t="s">
        <v>23</v>
      </c>
      <c r="D378" s="3" t="s">
        <v>44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44652</v>
      </c>
      <c r="J378" s="4">
        <v>0</v>
      </c>
      <c r="K378" s="4">
        <v>0</v>
      </c>
      <c r="L378" s="4">
        <v>4.5819999999999999</v>
      </c>
      <c r="M378" s="4">
        <v>4.5819999999999999</v>
      </c>
      <c r="N378" s="4">
        <v>4.5819999999999999</v>
      </c>
      <c r="O378" s="4">
        <v>4.5819999999999999</v>
      </c>
      <c r="P378" s="4">
        <v>12</v>
      </c>
      <c r="Q378" s="3" t="s">
        <v>26</v>
      </c>
      <c r="R378" s="3">
        <v>0</v>
      </c>
      <c r="S378" s="4">
        <v>0</v>
      </c>
      <c r="T378" s="4">
        <v>55</v>
      </c>
      <c r="U378" s="4">
        <v>20</v>
      </c>
      <c r="V378" s="4">
        <f>IF(ISERROR(VLOOKUP($S$378,'TAR FIN'!$A$1:$O$88,15,0)),0,VLOOKUP($S$378,'TAR FIN'!$A$1:$O$88,15,0))</f>
        <v>0</v>
      </c>
      <c r="W378" s="4">
        <f>IF(ISERROR(VLOOKUP($T$378,'TAR FIN'!$A$1:$O$88,15,0)),0,VLOOKUP($T$378,'TAR FIN'!$A$1:$O$88,15,0))</f>
        <v>441.31</v>
      </c>
      <c r="X378" s="4">
        <f>IF(ISERROR(VLOOKUP($U$378,'TAR FIN'!$A$1:$O$88,15,0)),0,VLOOKUP($U$378,'TAR FIN'!$A$1:$O$88,15,0))</f>
        <v>132.22999999999999</v>
      </c>
      <c r="Y378" s="4"/>
      <c r="Z378" s="4">
        <f ca="1">('TUSD BE'!$AM$33+'TUSD BF'!$AM$33+'TUSD CVA'!$AM$33)*(1-CUSTOS!$M$38)</f>
        <v>554.80001091929842</v>
      </c>
      <c r="AA378" s="4">
        <f>('TE BE'!$AB$23+'TE BF'!$AB$23+'TE CVA'!$AB$23)*(1-CUSTOS!$M$38)</f>
        <v>128.42529768213717</v>
      </c>
      <c r="AB378" s="4">
        <f>$K$378*$V$378</f>
        <v>0</v>
      </c>
      <c r="AC378" s="4">
        <f>$M$378*$W$378</f>
        <v>2022.08242</v>
      </c>
      <c r="AD378" s="4">
        <f>$O$378*$X$378</f>
        <v>605.87785999999994</v>
      </c>
      <c r="AE378" s="4">
        <f>$K$378*$Y$378</f>
        <v>0</v>
      </c>
      <c r="AF378" s="4">
        <f ca="1">$M$378*$Z$378</f>
        <v>2542.0936500322255</v>
      </c>
      <c r="AG378" s="4">
        <f>$O$378*$AA$378</f>
        <v>588.44471397955249</v>
      </c>
    </row>
    <row r="379" spans="1:33" ht="11.25" customHeight="1" x14ac:dyDescent="0.25">
      <c r="A379" s="3" t="s">
        <v>21</v>
      </c>
      <c r="B379" s="3" t="s">
        <v>43</v>
      </c>
      <c r="C379" s="3" t="s">
        <v>23</v>
      </c>
      <c r="D379" s="3" t="s">
        <v>44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44682</v>
      </c>
      <c r="J379" s="4">
        <v>0</v>
      </c>
      <c r="K379" s="4">
        <v>0</v>
      </c>
      <c r="L379" s="4">
        <v>212.1</v>
      </c>
      <c r="M379" s="4">
        <v>212.1</v>
      </c>
      <c r="N379" s="4">
        <v>212.1</v>
      </c>
      <c r="O379" s="4">
        <v>212.1</v>
      </c>
      <c r="P379" s="4">
        <v>756</v>
      </c>
      <c r="Q379" s="3" t="s">
        <v>26</v>
      </c>
      <c r="R379" s="3">
        <v>0</v>
      </c>
      <c r="S379" s="4">
        <v>0</v>
      </c>
      <c r="T379" s="4">
        <v>55</v>
      </c>
      <c r="U379" s="4">
        <v>20</v>
      </c>
      <c r="V379" s="4">
        <f>IF(ISERROR(VLOOKUP($S$379,'TAR FIN'!$A$1:$O$88,15,0)),0,VLOOKUP($S$379,'TAR FIN'!$A$1:$O$88,15,0))</f>
        <v>0</v>
      </c>
      <c r="W379" s="4">
        <f>IF(ISERROR(VLOOKUP($T$379,'TAR FIN'!$A$1:$O$88,15,0)),0,VLOOKUP($T$379,'TAR FIN'!$A$1:$O$88,15,0))</f>
        <v>441.31</v>
      </c>
      <c r="X379" s="4">
        <f>IF(ISERROR(VLOOKUP($U$379,'TAR FIN'!$A$1:$O$88,15,0)),0,VLOOKUP($U$379,'TAR FIN'!$A$1:$O$88,15,0))</f>
        <v>132.22999999999999</v>
      </c>
      <c r="Y379" s="4"/>
      <c r="Z379" s="4">
        <f ca="1">('TUSD BE'!$AM$33+'TUSD BF'!$AM$33+'TUSD CVA'!$AM$33)*(1-CUSTOS!$M$38)</f>
        <v>554.80001091929842</v>
      </c>
      <c r="AA379" s="4">
        <f>('TE BE'!$AB$23+'TE BF'!$AB$23+'TE CVA'!$AB$23)*(1-CUSTOS!$M$38)</f>
        <v>128.42529768213717</v>
      </c>
      <c r="AB379" s="4">
        <f>$K$379*$V$379</f>
        <v>0</v>
      </c>
      <c r="AC379" s="4">
        <f>$M$379*$W$379</f>
        <v>93601.850999999995</v>
      </c>
      <c r="AD379" s="4">
        <f>$O$379*$X$379</f>
        <v>28045.982999999997</v>
      </c>
      <c r="AE379" s="4">
        <f>$K$379*$Y$379</f>
        <v>0</v>
      </c>
      <c r="AF379" s="4">
        <f ca="1">$M$379*$Z$379</f>
        <v>117673.08231598319</v>
      </c>
      <c r="AG379" s="4">
        <f>$O$379*$AA$379</f>
        <v>27239.005638381292</v>
      </c>
    </row>
    <row r="380" spans="1:33" ht="11.25" customHeight="1" x14ac:dyDescent="0.25">
      <c r="A380" s="3" t="s">
        <v>27</v>
      </c>
      <c r="B380" s="3" t="s">
        <v>43</v>
      </c>
      <c r="C380" s="3" t="s">
        <v>23</v>
      </c>
      <c r="D380" s="3" t="s">
        <v>44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-0.55500000000000005</v>
      </c>
      <c r="M380" s="4">
        <v>-0.55500000000000005</v>
      </c>
      <c r="N380" s="4">
        <v>-0.55500000000000005</v>
      </c>
      <c r="O380" s="4">
        <v>-0.55500000000000005</v>
      </c>
      <c r="P380" s="4">
        <v>0</v>
      </c>
      <c r="Q380" s="3" t="s">
        <v>26</v>
      </c>
      <c r="R380" s="3">
        <v>0</v>
      </c>
      <c r="S380" s="4">
        <v>0</v>
      </c>
      <c r="T380" s="4">
        <v>55</v>
      </c>
      <c r="U380" s="4">
        <v>20</v>
      </c>
      <c r="V380" s="4">
        <f>IF(ISERROR(VLOOKUP($S$380,'TAR FIN'!$A$1:$O$88,15,0)),0,VLOOKUP($S$380,'TAR FIN'!$A$1:$O$88,15,0))</f>
        <v>0</v>
      </c>
      <c r="W380" s="4">
        <f>IF(ISERROR(VLOOKUP($T$380,'TAR FIN'!$A$1:$O$88,15,0)),0,VLOOKUP($T$380,'TAR FIN'!$A$1:$O$88,15,0))</f>
        <v>441.31</v>
      </c>
      <c r="X380" s="4">
        <f>IF(ISERROR(VLOOKUP($U$380,'TAR FIN'!$A$1:$O$88,15,0)),0,VLOOKUP($U$380,'TAR FIN'!$A$1:$O$88,15,0))</f>
        <v>132.22999999999999</v>
      </c>
      <c r="Y380" s="4"/>
      <c r="Z380" s="4">
        <f ca="1">('TUSD BE'!$AM$33+'TUSD BF'!$AM$33+'TUSD CVA'!$AM$33)*(1-CUSTOS!$M$38)</f>
        <v>554.80001091929842</v>
      </c>
      <c r="AA380" s="4">
        <f>('TE BE'!$AB$23+'TE BF'!$AB$23+'TE CVA'!$AB$23)*(1-CUSTOS!$M$38)</f>
        <v>128.42529768213717</v>
      </c>
      <c r="AB380" s="4">
        <f>$K$380*$V$380</f>
        <v>0</v>
      </c>
      <c r="AC380" s="4">
        <f>$M$380*$W$380</f>
        <v>-244.92705000000004</v>
      </c>
      <c r="AD380" s="4">
        <f>$O$380*$X$380</f>
        <v>-73.387650000000008</v>
      </c>
      <c r="AE380" s="4">
        <f>$K$380*$Y$380</f>
        <v>0</v>
      </c>
      <c r="AF380" s="4">
        <f ca="1">$M$380*$Z$380</f>
        <v>-307.91400606021062</v>
      </c>
      <c r="AG380" s="4">
        <f>$O$380*$AA$380</f>
        <v>-71.276040213586143</v>
      </c>
    </row>
    <row r="381" spans="1:33" ht="11.25" customHeight="1" x14ac:dyDescent="0.25">
      <c r="A381" s="3" t="s">
        <v>28</v>
      </c>
      <c r="B381" s="3" t="s">
        <v>43</v>
      </c>
      <c r="C381" s="3" t="s">
        <v>23</v>
      </c>
      <c r="D381" s="3" t="s">
        <v>44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3.8839999999999999</v>
      </c>
      <c r="M381" s="4">
        <v>3.8839999999999999</v>
      </c>
      <c r="N381" s="4">
        <v>3.8839999999999999</v>
      </c>
      <c r="O381" s="4">
        <v>3.8839999999999999</v>
      </c>
      <c r="P381" s="4">
        <v>12</v>
      </c>
      <c r="Q381" s="3" t="s">
        <v>26</v>
      </c>
      <c r="R381" s="3">
        <v>0</v>
      </c>
      <c r="S381" s="4">
        <v>0</v>
      </c>
      <c r="T381" s="4">
        <v>55</v>
      </c>
      <c r="U381" s="4">
        <v>20</v>
      </c>
      <c r="V381" s="4">
        <f>IF(ISERROR(VLOOKUP($S$381,'TAR FIN'!$A$1:$O$88,15,0)),0,VLOOKUP($S$381,'TAR FIN'!$A$1:$O$88,15,0))</f>
        <v>0</v>
      </c>
      <c r="W381" s="4">
        <f>IF(ISERROR(VLOOKUP($T$381,'TAR FIN'!$A$1:$O$88,15,0)),0,VLOOKUP($T$381,'TAR FIN'!$A$1:$O$88,15,0))</f>
        <v>441.31</v>
      </c>
      <c r="X381" s="4">
        <f>IF(ISERROR(VLOOKUP($U$381,'TAR FIN'!$A$1:$O$88,15,0)),0,VLOOKUP($U$381,'TAR FIN'!$A$1:$O$88,15,0))</f>
        <v>132.22999999999999</v>
      </c>
      <c r="Y381" s="4"/>
      <c r="Z381" s="4">
        <f ca="1">('TUSD BE'!$AM$33+'TUSD BF'!$AM$33+'TUSD CVA'!$AM$33)*(1-CUSTOS!$M$38)</f>
        <v>554.80001091929842</v>
      </c>
      <c r="AA381" s="4">
        <f>('TE BE'!$AB$23+'TE BF'!$AB$23+'TE CVA'!$AB$23)*(1-CUSTOS!$M$38)</f>
        <v>128.42529768213717</v>
      </c>
      <c r="AB381" s="4">
        <f>$K$381*$V$381</f>
        <v>0</v>
      </c>
      <c r="AC381" s="4">
        <f>$M$381*$W$381</f>
        <v>1714.0480399999999</v>
      </c>
      <c r="AD381" s="4">
        <f>$O$381*$X$381</f>
        <v>513.58131999999989</v>
      </c>
      <c r="AE381" s="4">
        <f>$K$381*$Y$381</f>
        <v>0</v>
      </c>
      <c r="AF381" s="4">
        <f ca="1">$M$381*$Z$381</f>
        <v>2154.8432424105549</v>
      </c>
      <c r="AG381" s="4">
        <f>$O$381*$AA$381</f>
        <v>498.80385619742077</v>
      </c>
    </row>
    <row r="382" spans="1:33" ht="11.25" customHeight="1" x14ac:dyDescent="0.25">
      <c r="A382" s="3" t="s">
        <v>21</v>
      </c>
      <c r="B382" s="3" t="s">
        <v>43</v>
      </c>
      <c r="C382" s="3" t="s">
        <v>23</v>
      </c>
      <c r="D382" s="3" t="s">
        <v>44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228.16300000000001</v>
      </c>
      <c r="M382" s="4">
        <v>228.16300000000001</v>
      </c>
      <c r="N382" s="4">
        <v>228.16300000000001</v>
      </c>
      <c r="O382" s="4">
        <v>228.16300000000001</v>
      </c>
      <c r="P382" s="4">
        <v>756</v>
      </c>
      <c r="Q382" s="3" t="s">
        <v>26</v>
      </c>
      <c r="R382" s="3">
        <v>0</v>
      </c>
      <c r="S382" s="4">
        <v>0</v>
      </c>
      <c r="T382" s="4">
        <v>55</v>
      </c>
      <c r="U382" s="4">
        <v>20</v>
      </c>
      <c r="V382" s="4">
        <f>IF(ISERROR(VLOOKUP($S$382,'TAR FIN'!$A$1:$O$88,15,0)),0,VLOOKUP($S$382,'TAR FIN'!$A$1:$O$88,15,0))</f>
        <v>0</v>
      </c>
      <c r="W382" s="4">
        <f>IF(ISERROR(VLOOKUP($T$382,'TAR FIN'!$A$1:$O$88,15,0)),0,VLOOKUP($T$382,'TAR FIN'!$A$1:$O$88,15,0))</f>
        <v>441.31</v>
      </c>
      <c r="X382" s="4">
        <f>IF(ISERROR(VLOOKUP($U$382,'TAR FIN'!$A$1:$O$88,15,0)),0,VLOOKUP($U$382,'TAR FIN'!$A$1:$O$88,15,0))</f>
        <v>132.22999999999999</v>
      </c>
      <c r="Y382" s="4"/>
      <c r="Z382" s="4">
        <f ca="1">('TUSD BE'!$AM$33+'TUSD BF'!$AM$33+'TUSD CVA'!$AM$33)*(1-CUSTOS!$M$38)</f>
        <v>554.80001091929842</v>
      </c>
      <c r="AA382" s="4">
        <f>('TE BE'!$AB$23+'TE BF'!$AB$23+'TE CVA'!$AB$23)*(1-CUSTOS!$M$38)</f>
        <v>128.42529768213717</v>
      </c>
      <c r="AB382" s="4">
        <f>$K$382*$V$382</f>
        <v>0</v>
      </c>
      <c r="AC382" s="4">
        <f>$M$382*$W$382</f>
        <v>100690.61353</v>
      </c>
      <c r="AD382" s="4">
        <f>$O$382*$X$382</f>
        <v>30169.993490000001</v>
      </c>
      <c r="AE382" s="4">
        <f>$K$382*$Y$382</f>
        <v>0</v>
      </c>
      <c r="AF382" s="4">
        <f ca="1">$M$382*$Z$382</f>
        <v>126584.83489137988</v>
      </c>
      <c r="AG382" s="4">
        <f>$O$382*$AA$382</f>
        <v>29301.901195049464</v>
      </c>
    </row>
    <row r="383" spans="1:33" ht="11.25" customHeight="1" x14ac:dyDescent="0.25">
      <c r="A383" s="3" t="s">
        <v>27</v>
      </c>
      <c r="B383" s="3" t="s">
        <v>43</v>
      </c>
      <c r="C383" s="3" t="s">
        <v>23</v>
      </c>
      <c r="D383" s="3" t="s">
        <v>44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-0.50800000000000001</v>
      </c>
      <c r="M383" s="4">
        <v>-0.50800000000000001</v>
      </c>
      <c r="N383" s="4">
        <v>-0.50800000000000001</v>
      </c>
      <c r="O383" s="4">
        <v>-0.50800000000000001</v>
      </c>
      <c r="P383" s="4">
        <v>0</v>
      </c>
      <c r="Q383" s="3" t="s">
        <v>26</v>
      </c>
      <c r="R383" s="3">
        <v>0</v>
      </c>
      <c r="S383" s="4">
        <v>0</v>
      </c>
      <c r="T383" s="4">
        <v>55</v>
      </c>
      <c r="U383" s="4">
        <v>20</v>
      </c>
      <c r="V383" s="4">
        <f>IF(ISERROR(VLOOKUP($S$383,'TAR FIN'!$A$1:$O$88,15,0)),0,VLOOKUP($S$383,'TAR FIN'!$A$1:$O$88,15,0))</f>
        <v>0</v>
      </c>
      <c r="W383" s="4">
        <f>IF(ISERROR(VLOOKUP($T$383,'TAR FIN'!$A$1:$O$88,15,0)),0,VLOOKUP($T$383,'TAR FIN'!$A$1:$O$88,15,0))</f>
        <v>441.31</v>
      </c>
      <c r="X383" s="4">
        <f>IF(ISERROR(VLOOKUP($U$383,'TAR FIN'!$A$1:$O$88,15,0)),0,VLOOKUP($U$383,'TAR FIN'!$A$1:$O$88,15,0))</f>
        <v>132.22999999999999</v>
      </c>
      <c r="Y383" s="4"/>
      <c r="Z383" s="4">
        <f ca="1">('TUSD BE'!$AM$33+'TUSD BF'!$AM$33+'TUSD CVA'!$AM$33)*(1-CUSTOS!$M$38)</f>
        <v>554.80001091929842</v>
      </c>
      <c r="AA383" s="4">
        <f>('TE BE'!$AB$23+'TE BF'!$AB$23+'TE CVA'!$AB$23)*(1-CUSTOS!$M$38)</f>
        <v>128.42529768213717</v>
      </c>
      <c r="AB383" s="4">
        <f>$K$383*$V$383</f>
        <v>0</v>
      </c>
      <c r="AC383" s="4">
        <f>$M$383*$W$383</f>
        <v>-224.18548000000001</v>
      </c>
      <c r="AD383" s="4">
        <f>$O$383*$X$383</f>
        <v>-67.172839999999994</v>
      </c>
      <c r="AE383" s="4">
        <f>$K$383*$Y$383</f>
        <v>0</v>
      </c>
      <c r="AF383" s="4">
        <f ca="1">$M$383*$Z$383</f>
        <v>-281.83840554700362</v>
      </c>
      <c r="AG383" s="4">
        <f>$O$383*$AA$383</f>
        <v>-65.240051222525679</v>
      </c>
    </row>
    <row r="384" spans="1:33" ht="11.25" customHeight="1" x14ac:dyDescent="0.25">
      <c r="A384" s="3" t="s">
        <v>28</v>
      </c>
      <c r="B384" s="3" t="s">
        <v>43</v>
      </c>
      <c r="C384" s="3" t="s">
        <v>23</v>
      </c>
      <c r="D384" s="3" t="s">
        <v>44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44713</v>
      </c>
      <c r="J384" s="4">
        <v>0</v>
      </c>
      <c r="K384" s="4">
        <v>0</v>
      </c>
      <c r="L384" s="4">
        <v>5.6390000000000002</v>
      </c>
      <c r="M384" s="4">
        <v>5.6390000000000002</v>
      </c>
      <c r="N384" s="4">
        <v>5.6390000000000002</v>
      </c>
      <c r="O384" s="4">
        <v>5.6390000000000002</v>
      </c>
      <c r="P384" s="4">
        <v>12</v>
      </c>
      <c r="Q384" s="3" t="s">
        <v>26</v>
      </c>
      <c r="R384" s="3">
        <v>0</v>
      </c>
      <c r="S384" s="4">
        <v>0</v>
      </c>
      <c r="T384" s="4">
        <v>55</v>
      </c>
      <c r="U384" s="4">
        <v>20</v>
      </c>
      <c r="V384" s="4">
        <f>IF(ISERROR(VLOOKUP($S$384,'TAR FIN'!$A$1:$O$88,15,0)),0,VLOOKUP($S$384,'TAR FIN'!$A$1:$O$88,15,0))</f>
        <v>0</v>
      </c>
      <c r="W384" s="4">
        <f>IF(ISERROR(VLOOKUP($T$384,'TAR FIN'!$A$1:$O$88,15,0)),0,VLOOKUP($T$384,'TAR FIN'!$A$1:$O$88,15,0))</f>
        <v>441.31</v>
      </c>
      <c r="X384" s="4">
        <f>IF(ISERROR(VLOOKUP($U$384,'TAR FIN'!$A$1:$O$88,15,0)),0,VLOOKUP($U$384,'TAR FIN'!$A$1:$O$88,15,0))</f>
        <v>132.22999999999999</v>
      </c>
      <c r="Y384" s="4"/>
      <c r="Z384" s="4">
        <f ca="1">('TUSD BE'!$AM$33+'TUSD BF'!$AM$33+'TUSD CVA'!$AM$33)*(1-CUSTOS!$M$38)</f>
        <v>554.80001091929842</v>
      </c>
      <c r="AA384" s="4">
        <f>('TE BE'!$AB$23+'TE BF'!$AB$23+'TE CVA'!$AB$23)*(1-CUSTOS!$M$38)</f>
        <v>128.42529768213717</v>
      </c>
      <c r="AB384" s="4">
        <f>$K$384*$V$384</f>
        <v>0</v>
      </c>
      <c r="AC384" s="4">
        <f>$M$384*$W$384</f>
        <v>2488.54709</v>
      </c>
      <c r="AD384" s="4">
        <f>$O$384*$X$384</f>
        <v>745.64496999999994</v>
      </c>
      <c r="AE384" s="4">
        <f>$K$384*$Y$384</f>
        <v>0</v>
      </c>
      <c r="AF384" s="4">
        <f ca="1">$M$384*$Z$384</f>
        <v>3128.5172615739239</v>
      </c>
      <c r="AG384" s="4">
        <f>$O$384*$AA$384</f>
        <v>724.19025362957154</v>
      </c>
    </row>
    <row r="385" spans="1:33" ht="11.25" customHeight="1" x14ac:dyDescent="0.25">
      <c r="A385" s="3" t="s">
        <v>21</v>
      </c>
      <c r="B385" s="3" t="s">
        <v>43</v>
      </c>
      <c r="C385" s="3" t="s">
        <v>23</v>
      </c>
      <c r="D385" s="3" t="s">
        <v>44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214.50700000000001</v>
      </c>
      <c r="M385" s="4">
        <v>214.50700000000001</v>
      </c>
      <c r="N385" s="4">
        <v>214.50700000000001</v>
      </c>
      <c r="O385" s="4">
        <v>214.50700000000001</v>
      </c>
      <c r="P385" s="4">
        <v>750</v>
      </c>
      <c r="Q385" s="3" t="s">
        <v>26</v>
      </c>
      <c r="R385" s="3">
        <v>0</v>
      </c>
      <c r="S385" s="4">
        <v>0</v>
      </c>
      <c r="T385" s="4">
        <v>55</v>
      </c>
      <c r="U385" s="4">
        <v>20</v>
      </c>
      <c r="V385" s="4">
        <f>IF(ISERROR(VLOOKUP($S$385,'TAR FIN'!$A$1:$O$88,15,0)),0,VLOOKUP($S$385,'TAR FIN'!$A$1:$O$88,15,0))</f>
        <v>0</v>
      </c>
      <c r="W385" s="4">
        <f>IF(ISERROR(VLOOKUP($T$385,'TAR FIN'!$A$1:$O$88,15,0)),0,VLOOKUP($T$385,'TAR FIN'!$A$1:$O$88,15,0))</f>
        <v>441.31</v>
      </c>
      <c r="X385" s="4">
        <f>IF(ISERROR(VLOOKUP($U$385,'TAR FIN'!$A$1:$O$88,15,0)),0,VLOOKUP($U$385,'TAR FIN'!$A$1:$O$88,15,0))</f>
        <v>132.22999999999999</v>
      </c>
      <c r="Y385" s="4"/>
      <c r="Z385" s="4">
        <f ca="1">('TUSD BE'!$AM$33+'TUSD BF'!$AM$33+'TUSD CVA'!$AM$33)*(1-CUSTOS!$M$38)</f>
        <v>554.80001091929842</v>
      </c>
      <c r="AA385" s="4">
        <f>('TE BE'!$AB$23+'TE BF'!$AB$23+'TE CVA'!$AB$23)*(1-CUSTOS!$M$38)</f>
        <v>128.42529768213717</v>
      </c>
      <c r="AB385" s="4">
        <f>$K$385*$V$385</f>
        <v>0</v>
      </c>
      <c r="AC385" s="4">
        <f>$M$385*$W$385</f>
        <v>94664.084170000002</v>
      </c>
      <c r="AD385" s="4">
        <f>$O$385*$X$385</f>
        <v>28364.260609999998</v>
      </c>
      <c r="AE385" s="4">
        <f>$K$385*$Y$385</f>
        <v>0</v>
      </c>
      <c r="AF385" s="4">
        <f ca="1">$M$385*$Z$385</f>
        <v>119008.48594226595</v>
      </c>
      <c r="AG385" s="4">
        <f>$O$385*$AA$385</f>
        <v>27548.125329902199</v>
      </c>
    </row>
    <row r="386" spans="1:33" ht="11.25" customHeight="1" x14ac:dyDescent="0.25">
      <c r="A386" s="3" t="s">
        <v>28</v>
      </c>
      <c r="B386" s="3" t="s">
        <v>43</v>
      </c>
      <c r="C386" s="3" t="s">
        <v>23</v>
      </c>
      <c r="D386" s="3" t="s">
        <v>44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44743</v>
      </c>
      <c r="J386" s="4">
        <v>0</v>
      </c>
      <c r="K386" s="4">
        <v>0</v>
      </c>
      <c r="L386" s="4">
        <v>5.5209999999999999</v>
      </c>
      <c r="M386" s="4">
        <v>5.5209999999999999</v>
      </c>
      <c r="N386" s="4">
        <v>5.5209999999999999</v>
      </c>
      <c r="O386" s="4">
        <v>5.5209999999999999</v>
      </c>
      <c r="P386" s="4">
        <v>12</v>
      </c>
      <c r="Q386" s="3" t="s">
        <v>26</v>
      </c>
      <c r="R386" s="3">
        <v>0</v>
      </c>
      <c r="S386" s="4">
        <v>0</v>
      </c>
      <c r="T386" s="4">
        <v>55</v>
      </c>
      <c r="U386" s="4">
        <v>20</v>
      </c>
      <c r="V386" s="4">
        <f>IF(ISERROR(VLOOKUP($S$386,'TAR FIN'!$A$1:$O$88,15,0)),0,VLOOKUP($S$386,'TAR FIN'!$A$1:$O$88,15,0))</f>
        <v>0</v>
      </c>
      <c r="W386" s="4">
        <f>IF(ISERROR(VLOOKUP($T$386,'TAR FIN'!$A$1:$O$88,15,0)),0,VLOOKUP($T$386,'TAR FIN'!$A$1:$O$88,15,0))</f>
        <v>441.31</v>
      </c>
      <c r="X386" s="4">
        <f>IF(ISERROR(VLOOKUP($U$386,'TAR FIN'!$A$1:$O$88,15,0)),0,VLOOKUP($U$386,'TAR FIN'!$A$1:$O$88,15,0))</f>
        <v>132.22999999999999</v>
      </c>
      <c r="Y386" s="4"/>
      <c r="Z386" s="4">
        <f ca="1">('TUSD BE'!$AM$33+'TUSD BF'!$AM$33+'TUSD CVA'!$AM$33)*(1-CUSTOS!$M$38)</f>
        <v>554.80001091929842</v>
      </c>
      <c r="AA386" s="4">
        <f>('TE BE'!$AB$23+'TE BF'!$AB$23+'TE CVA'!$AB$23)*(1-CUSTOS!$M$38)</f>
        <v>128.42529768213717</v>
      </c>
      <c r="AB386" s="4">
        <f>$K$386*$V$386</f>
        <v>0</v>
      </c>
      <c r="AC386" s="4">
        <f>$M$386*$W$386</f>
        <v>2436.4725100000001</v>
      </c>
      <c r="AD386" s="4">
        <f>$O$386*$X$386</f>
        <v>730.04182999999989</v>
      </c>
      <c r="AE386" s="4">
        <f>$K$386*$Y$386</f>
        <v>0</v>
      </c>
      <c r="AF386" s="4">
        <f ca="1">$M$386*$Z$386</f>
        <v>3063.0508602854466</v>
      </c>
      <c r="AG386" s="4">
        <f>$O$386*$AA$386</f>
        <v>709.03606850307926</v>
      </c>
    </row>
    <row r="387" spans="1:33" ht="11.25" customHeight="1" x14ac:dyDescent="0.25">
      <c r="A387" s="3" t="s">
        <v>55</v>
      </c>
      <c r="B387" s="3" t="s">
        <v>43</v>
      </c>
      <c r="C387" s="3" t="s">
        <v>23</v>
      </c>
      <c r="D387" s="3" t="s">
        <v>44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214.50700000000001</v>
      </c>
      <c r="M387" s="4">
        <v>214.50700000000001</v>
      </c>
      <c r="N387" s="4">
        <v>214.50700000000001</v>
      </c>
      <c r="O387" s="4">
        <v>214.50700000000001</v>
      </c>
      <c r="P387" s="4">
        <v>750</v>
      </c>
      <c r="Q387" s="3" t="s">
        <v>26</v>
      </c>
      <c r="R387" s="3">
        <v>0</v>
      </c>
      <c r="S387" s="4">
        <v>0</v>
      </c>
      <c r="T387" s="4">
        <v>55</v>
      </c>
      <c r="U387" s="4">
        <v>20</v>
      </c>
      <c r="V387" s="4">
        <f>IF(ISERROR(VLOOKUP($S$387,'TAR FIN'!$A$1:$O$88,15,0)),0,VLOOKUP($S$387,'TAR FIN'!$A$1:$O$88,15,0))</f>
        <v>0</v>
      </c>
      <c r="W387" s="4">
        <f>IF(ISERROR(VLOOKUP($T$387,'TAR FIN'!$A$1:$O$88,15,0)),0,VLOOKUP($T$387,'TAR FIN'!$A$1:$O$88,15,0))</f>
        <v>441.31</v>
      </c>
      <c r="X387" s="4">
        <f>IF(ISERROR(VLOOKUP($U$387,'TAR FIN'!$A$1:$O$88,15,0)),0,VLOOKUP($U$387,'TAR FIN'!$A$1:$O$88,15,0))</f>
        <v>132.22999999999999</v>
      </c>
      <c r="Y387" s="4"/>
      <c r="Z387" s="4">
        <f ca="1">('TUSD BE'!$AM$33+'TUSD BF'!$AM$33+'TUSD CVA'!$AM$33)*(1-CUSTOS!$M$38)</f>
        <v>554.80001091929842</v>
      </c>
      <c r="AA387" s="4">
        <f>('TE BE'!$AB$23+'TE BF'!$AB$23+'TE CVA'!$AB$23)*(1-CUSTOS!$M$38)</f>
        <v>128.42529768213717</v>
      </c>
      <c r="AB387" s="4">
        <f>$K$387*$V$387</f>
        <v>0</v>
      </c>
      <c r="AC387" s="4">
        <f>$M$387*$W$387</f>
        <v>94664.084170000002</v>
      </c>
      <c r="AD387" s="4">
        <f>$O$387*$X$387</f>
        <v>28364.260609999998</v>
      </c>
      <c r="AE387" s="4">
        <f>$K$387*$Y$387</f>
        <v>0</v>
      </c>
      <c r="AF387" s="4">
        <f ca="1">$M$387*$Z$387</f>
        <v>119008.48594226595</v>
      </c>
      <c r="AG387" s="4">
        <f>$O$387*$AA$387</f>
        <v>27548.125329902199</v>
      </c>
    </row>
    <row r="388" spans="1:33" ht="11.25" customHeight="1" x14ac:dyDescent="0.25">
      <c r="A388" s="3" t="s">
        <v>55</v>
      </c>
      <c r="B388" s="3" t="s">
        <v>43</v>
      </c>
      <c r="C388" s="3" t="s">
        <v>23</v>
      </c>
      <c r="D388" s="3" t="s">
        <v>44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44774</v>
      </c>
      <c r="J388" s="4">
        <v>0</v>
      </c>
      <c r="K388" s="4">
        <v>0</v>
      </c>
      <c r="L388" s="4">
        <v>5.5209999999999999</v>
      </c>
      <c r="M388" s="4">
        <v>5.5209999999999999</v>
      </c>
      <c r="N388" s="4">
        <v>5.5209999999999999</v>
      </c>
      <c r="O388" s="4">
        <v>5.5209999999999999</v>
      </c>
      <c r="P388" s="4">
        <v>12</v>
      </c>
      <c r="Q388" s="3" t="s">
        <v>26</v>
      </c>
      <c r="R388" s="3">
        <v>0</v>
      </c>
      <c r="S388" s="4">
        <v>0</v>
      </c>
      <c r="T388" s="4">
        <v>55</v>
      </c>
      <c r="U388" s="4">
        <v>20</v>
      </c>
      <c r="V388" s="4">
        <f>IF(ISERROR(VLOOKUP($S$388,'TAR FIN'!$A$1:$O$88,15,0)),0,VLOOKUP($S$388,'TAR FIN'!$A$1:$O$88,15,0))</f>
        <v>0</v>
      </c>
      <c r="W388" s="4">
        <f>IF(ISERROR(VLOOKUP($T$388,'TAR FIN'!$A$1:$O$88,15,0)),0,VLOOKUP($T$388,'TAR FIN'!$A$1:$O$88,15,0))</f>
        <v>441.31</v>
      </c>
      <c r="X388" s="4">
        <f>IF(ISERROR(VLOOKUP($U$388,'TAR FIN'!$A$1:$O$88,15,0)),0,VLOOKUP($U$388,'TAR FIN'!$A$1:$O$88,15,0))</f>
        <v>132.22999999999999</v>
      </c>
      <c r="Y388" s="4"/>
      <c r="Z388" s="4">
        <f ca="1">('TUSD BE'!$AM$33+'TUSD BF'!$AM$33+'TUSD CVA'!$AM$33)*(1-CUSTOS!$M$38)</f>
        <v>554.80001091929842</v>
      </c>
      <c r="AA388" s="4">
        <f>('TE BE'!$AB$23+'TE BF'!$AB$23+'TE CVA'!$AB$23)*(1-CUSTOS!$M$38)</f>
        <v>128.42529768213717</v>
      </c>
      <c r="AB388" s="4">
        <f>$K$388*$V$388</f>
        <v>0</v>
      </c>
      <c r="AC388" s="4">
        <f>$M$388*$W$388</f>
        <v>2436.4725100000001</v>
      </c>
      <c r="AD388" s="4">
        <f>$O$388*$X$388</f>
        <v>730.04182999999989</v>
      </c>
      <c r="AE388" s="4">
        <f>$K$388*$Y$388</f>
        <v>0</v>
      </c>
      <c r="AF388" s="4">
        <f ca="1">$M$388*$Z$388</f>
        <v>3063.0508602854466</v>
      </c>
      <c r="AG388" s="4">
        <f>$O$388*$AA$388</f>
        <v>709.03606850307926</v>
      </c>
    </row>
    <row r="389" spans="1:33" ht="11.25" customHeight="1" x14ac:dyDescent="0.25">
      <c r="A389" s="3" t="s">
        <v>21</v>
      </c>
      <c r="B389" s="3" t="s">
        <v>33</v>
      </c>
      <c r="C389" s="3" t="s">
        <v>41</v>
      </c>
      <c r="D389" s="3" t="s">
        <v>40</v>
      </c>
      <c r="E389" s="3" t="s">
        <v>25</v>
      </c>
      <c r="F389" s="3" t="s">
        <v>25</v>
      </c>
      <c r="G389" s="3" t="s">
        <v>25</v>
      </c>
      <c r="H389" s="3" t="s">
        <v>38</v>
      </c>
      <c r="I389" s="6">
        <v>44440</v>
      </c>
      <c r="J389" s="4">
        <v>0</v>
      </c>
      <c r="K389" s="4">
        <v>0</v>
      </c>
      <c r="L389" s="4">
        <v>7.0810000000000004</v>
      </c>
      <c r="M389" s="4">
        <v>7.0810000000000004</v>
      </c>
      <c r="N389" s="4">
        <v>7.0810000000000004</v>
      </c>
      <c r="O389" s="4">
        <v>7.0810000000000004</v>
      </c>
      <c r="P389" s="4">
        <v>0</v>
      </c>
      <c r="Q389" s="3" t="s">
        <v>26</v>
      </c>
      <c r="R389" s="3">
        <v>0</v>
      </c>
      <c r="S389" s="4">
        <v>0</v>
      </c>
      <c r="T389" s="4">
        <v>59</v>
      </c>
      <c r="U389" s="4">
        <v>2</v>
      </c>
      <c r="V389" s="4">
        <f>IF(ISERROR(VLOOKUP($S$389,'TAR FIN'!$A$1:$O$88,15,0)),0,VLOOKUP($S$389,'TAR FIN'!$A$1:$O$88,15,0))</f>
        <v>0</v>
      </c>
      <c r="W389" s="4">
        <f>IF(ISERROR(VLOOKUP($T$389,'TAR FIN'!$A$1:$O$88,15,0)),0,VLOOKUP($T$389,'TAR FIN'!$A$1:$O$88,15,0))</f>
        <v>370.31</v>
      </c>
      <c r="X389" s="4">
        <f>IF(ISERROR(VLOOKUP($U$389,'TAR FIN'!$A$1:$O$88,15,0)),0,VLOOKUP($U$389,'TAR FIN'!$A$1:$O$88,15,0))</f>
        <v>150.26</v>
      </c>
      <c r="Y389" s="4"/>
      <c r="Z389" s="4">
        <f ca="1">('TUSD BE'!$AM$47+'TUSD BF'!$AM$47+'TUSD CVA'!$AM$47)*1</f>
        <v>438.41907129175127</v>
      </c>
      <c r="AA389" s="4">
        <f>('TE BE'!$AB$37+'TE BF'!$AB$37+'TE CVA'!$AB$37)*1</f>
        <v>136.62265710865657</v>
      </c>
      <c r="AB389" s="4">
        <f>$K$389*$V$389</f>
        <v>0</v>
      </c>
      <c r="AC389" s="4">
        <f>$M$389*$W$389</f>
        <v>2622.1651100000004</v>
      </c>
      <c r="AD389" s="4">
        <f>$O$389*$X$389</f>
        <v>1063.9910600000001</v>
      </c>
      <c r="AE389" s="4">
        <f>$K$389*$Y$389</f>
        <v>0</v>
      </c>
      <c r="AF389" s="4">
        <f ca="1">$M$389*$Z$389</f>
        <v>3104.4454438168909</v>
      </c>
      <c r="AG389" s="4">
        <f>$O$389*$AA$389</f>
        <v>967.42503498639724</v>
      </c>
    </row>
    <row r="390" spans="1:33" ht="11.25" customHeight="1" x14ac:dyDescent="0.25">
      <c r="A390" s="3" t="s">
        <v>21</v>
      </c>
      <c r="B390" s="3" t="s">
        <v>33</v>
      </c>
      <c r="C390" s="3" t="s">
        <v>41</v>
      </c>
      <c r="D390" s="3" t="s">
        <v>40</v>
      </c>
      <c r="E390" s="3" t="s">
        <v>25</v>
      </c>
      <c r="F390" s="3" t="s">
        <v>25</v>
      </c>
      <c r="G390" s="3" t="s">
        <v>25</v>
      </c>
      <c r="H390" s="3" t="s">
        <v>38</v>
      </c>
      <c r="I390" s="6">
        <v>44470</v>
      </c>
      <c r="J390" s="4">
        <v>0</v>
      </c>
      <c r="K390" s="4">
        <v>0</v>
      </c>
      <c r="L390" s="4">
        <v>5.37</v>
      </c>
      <c r="M390" s="4">
        <v>5.37</v>
      </c>
      <c r="N390" s="4">
        <v>5.37</v>
      </c>
      <c r="O390" s="4">
        <v>5.37</v>
      </c>
      <c r="P390" s="4">
        <v>0</v>
      </c>
      <c r="Q390" s="3" t="s">
        <v>26</v>
      </c>
      <c r="R390" s="3">
        <v>0</v>
      </c>
      <c r="S390" s="4">
        <v>0</v>
      </c>
      <c r="T390" s="4">
        <v>59</v>
      </c>
      <c r="U390" s="4">
        <v>2</v>
      </c>
      <c r="V390" s="4">
        <f>IF(ISERROR(VLOOKUP($S$390,'TAR FIN'!$A$1:$O$88,15,0)),0,VLOOKUP($S$390,'TAR FIN'!$A$1:$O$88,15,0))</f>
        <v>0</v>
      </c>
      <c r="W390" s="4">
        <f>IF(ISERROR(VLOOKUP($T$390,'TAR FIN'!$A$1:$O$88,15,0)),0,VLOOKUP($T$390,'TAR FIN'!$A$1:$O$88,15,0))</f>
        <v>370.31</v>
      </c>
      <c r="X390" s="4">
        <f>IF(ISERROR(VLOOKUP($U$390,'TAR FIN'!$A$1:$O$88,15,0)),0,VLOOKUP($U$390,'TAR FIN'!$A$1:$O$88,15,0))</f>
        <v>150.26</v>
      </c>
      <c r="Y390" s="4"/>
      <c r="Z390" s="4">
        <f ca="1">('TUSD BE'!$AM$47+'TUSD BF'!$AM$47+'TUSD CVA'!$AM$47)*1</f>
        <v>438.41907129175127</v>
      </c>
      <c r="AA390" s="4">
        <f>('TE BE'!$AB$37+'TE BF'!$AB$37+'TE CVA'!$AB$37)*1</f>
        <v>136.62265710865657</v>
      </c>
      <c r="AB390" s="4">
        <f>$K$390*$V$390</f>
        <v>0</v>
      </c>
      <c r="AC390" s="4">
        <f>$M$390*$W$390</f>
        <v>1988.5647000000001</v>
      </c>
      <c r="AD390" s="4">
        <f>$O$390*$X$390</f>
        <v>806.89620000000002</v>
      </c>
      <c r="AE390" s="4">
        <f>$K$390*$Y$390</f>
        <v>0</v>
      </c>
      <c r="AF390" s="4">
        <f ca="1">$M$390*$Z$390</f>
        <v>2354.3104128367045</v>
      </c>
      <c r="AG390" s="4">
        <f>$O$390*$AA$390</f>
        <v>733.66366867348574</v>
      </c>
    </row>
    <row r="391" spans="1:33" ht="11.25" customHeight="1" x14ac:dyDescent="0.25">
      <c r="A391" s="3" t="s">
        <v>21</v>
      </c>
      <c r="B391" s="3" t="s">
        <v>33</v>
      </c>
      <c r="C391" s="3" t="s">
        <v>41</v>
      </c>
      <c r="D391" s="3" t="s">
        <v>40</v>
      </c>
      <c r="E391" s="3" t="s">
        <v>25</v>
      </c>
      <c r="F391" s="3" t="s">
        <v>25</v>
      </c>
      <c r="G391" s="3" t="s">
        <v>25</v>
      </c>
      <c r="H391" s="3" t="s">
        <v>38</v>
      </c>
      <c r="I391" s="6">
        <v>44501</v>
      </c>
      <c r="J391" s="4">
        <v>0</v>
      </c>
      <c r="K391" s="4">
        <v>0</v>
      </c>
      <c r="L391" s="4">
        <v>5.657</v>
      </c>
      <c r="M391" s="4">
        <v>5.657</v>
      </c>
      <c r="N391" s="4">
        <v>5.657</v>
      </c>
      <c r="O391" s="4">
        <v>5.657</v>
      </c>
      <c r="P391" s="4">
        <v>0</v>
      </c>
      <c r="Q391" s="3" t="s">
        <v>26</v>
      </c>
      <c r="R391" s="3">
        <v>0</v>
      </c>
      <c r="S391" s="4">
        <v>0</v>
      </c>
      <c r="T391" s="4">
        <v>59</v>
      </c>
      <c r="U391" s="4">
        <v>2</v>
      </c>
      <c r="V391" s="4">
        <f>IF(ISERROR(VLOOKUP($S$391,'TAR FIN'!$A$1:$O$88,15,0)),0,VLOOKUP($S$391,'TAR FIN'!$A$1:$O$88,15,0))</f>
        <v>0</v>
      </c>
      <c r="W391" s="4">
        <f>IF(ISERROR(VLOOKUP($T$391,'TAR FIN'!$A$1:$O$88,15,0)),0,VLOOKUP($T$391,'TAR FIN'!$A$1:$O$88,15,0))</f>
        <v>370.31</v>
      </c>
      <c r="X391" s="4">
        <f>IF(ISERROR(VLOOKUP($U$391,'TAR FIN'!$A$1:$O$88,15,0)),0,VLOOKUP($U$391,'TAR FIN'!$A$1:$O$88,15,0))</f>
        <v>150.26</v>
      </c>
      <c r="Y391" s="4"/>
      <c r="Z391" s="4">
        <f ca="1">('TUSD BE'!$AM$47+'TUSD BF'!$AM$47+'TUSD CVA'!$AM$47)*1</f>
        <v>438.41907129175127</v>
      </c>
      <c r="AA391" s="4">
        <f>('TE BE'!$AB$37+'TE BF'!$AB$37+'TE CVA'!$AB$37)*1</f>
        <v>136.62265710865657</v>
      </c>
      <c r="AB391" s="4">
        <f>$K$391*$V$391</f>
        <v>0</v>
      </c>
      <c r="AC391" s="4">
        <f>$M$391*$W$391</f>
        <v>2094.8436700000002</v>
      </c>
      <c r="AD391" s="4">
        <f>$O$391*$X$391</f>
        <v>850.02081999999996</v>
      </c>
      <c r="AE391" s="4">
        <f>$K$391*$Y$391</f>
        <v>0</v>
      </c>
      <c r="AF391" s="4">
        <f ca="1">$M$391*$Z$391</f>
        <v>2480.1366862974369</v>
      </c>
      <c r="AG391" s="4">
        <f>$O$391*$AA$391</f>
        <v>772.87437126367024</v>
      </c>
    </row>
    <row r="392" spans="1:33" ht="11.25" customHeight="1" x14ac:dyDescent="0.25">
      <c r="A392" s="3" t="s">
        <v>21</v>
      </c>
      <c r="B392" s="3" t="s">
        <v>33</v>
      </c>
      <c r="C392" s="3" t="s">
        <v>41</v>
      </c>
      <c r="D392" s="3" t="s">
        <v>40</v>
      </c>
      <c r="E392" s="3" t="s">
        <v>25</v>
      </c>
      <c r="F392" s="3" t="s">
        <v>25</v>
      </c>
      <c r="G392" s="3" t="s">
        <v>25</v>
      </c>
      <c r="H392" s="3" t="s">
        <v>38</v>
      </c>
      <c r="I392" s="6">
        <v>44531</v>
      </c>
      <c r="J392" s="4">
        <v>0</v>
      </c>
      <c r="K392" s="4">
        <v>0</v>
      </c>
      <c r="L392" s="4">
        <v>9.1059999999999999</v>
      </c>
      <c r="M392" s="4">
        <v>9.1059999999999999</v>
      </c>
      <c r="N392" s="4">
        <v>9.1059999999999999</v>
      </c>
      <c r="O392" s="4">
        <v>9.1059999999999999</v>
      </c>
      <c r="P392" s="4">
        <v>0</v>
      </c>
      <c r="Q392" s="3" t="s">
        <v>26</v>
      </c>
      <c r="R392" s="3">
        <v>0</v>
      </c>
      <c r="S392" s="4">
        <v>0</v>
      </c>
      <c r="T392" s="4">
        <v>59</v>
      </c>
      <c r="U392" s="4">
        <v>2</v>
      </c>
      <c r="V392" s="4">
        <f>IF(ISERROR(VLOOKUP($S$392,'TAR FIN'!$A$1:$O$88,15,0)),0,VLOOKUP($S$392,'TAR FIN'!$A$1:$O$88,15,0))</f>
        <v>0</v>
      </c>
      <c r="W392" s="4">
        <f>IF(ISERROR(VLOOKUP($T$392,'TAR FIN'!$A$1:$O$88,15,0)),0,VLOOKUP($T$392,'TAR FIN'!$A$1:$O$88,15,0))</f>
        <v>370.31</v>
      </c>
      <c r="X392" s="4">
        <f>IF(ISERROR(VLOOKUP($U$392,'TAR FIN'!$A$1:$O$88,15,0)),0,VLOOKUP($U$392,'TAR FIN'!$A$1:$O$88,15,0))</f>
        <v>150.26</v>
      </c>
      <c r="Y392" s="4"/>
      <c r="Z392" s="4">
        <f ca="1">('TUSD BE'!$AM$47+'TUSD BF'!$AM$47+'TUSD CVA'!$AM$47)*1</f>
        <v>438.41907129175127</v>
      </c>
      <c r="AA392" s="4">
        <f>('TE BE'!$AB$37+'TE BF'!$AB$37+'TE CVA'!$AB$37)*1</f>
        <v>136.62265710865657</v>
      </c>
      <c r="AB392" s="4">
        <f>$K$392*$V$392</f>
        <v>0</v>
      </c>
      <c r="AC392" s="4">
        <f>$M$392*$W$392</f>
        <v>3372.04286</v>
      </c>
      <c r="AD392" s="4">
        <f>$O$392*$X$392</f>
        <v>1368.26756</v>
      </c>
      <c r="AE392" s="4">
        <f>$K$392*$Y$392</f>
        <v>0</v>
      </c>
      <c r="AF392" s="4">
        <f ca="1">$M$392*$Z$392</f>
        <v>3992.2440631826871</v>
      </c>
      <c r="AG392" s="4">
        <f>$O$392*$AA$392</f>
        <v>1244.0859156314266</v>
      </c>
    </row>
    <row r="393" spans="1:33" ht="11.25" customHeight="1" x14ac:dyDescent="0.25">
      <c r="A393" s="3" t="s">
        <v>21</v>
      </c>
      <c r="B393" s="3" t="s">
        <v>33</v>
      </c>
      <c r="C393" s="3" t="s">
        <v>41</v>
      </c>
      <c r="D393" s="3" t="s">
        <v>40</v>
      </c>
      <c r="E393" s="3" t="s">
        <v>25</v>
      </c>
      <c r="F393" s="3" t="s">
        <v>25</v>
      </c>
      <c r="G393" s="3" t="s">
        <v>25</v>
      </c>
      <c r="H393" s="3" t="s">
        <v>38</v>
      </c>
      <c r="I393" s="6">
        <v>44562</v>
      </c>
      <c r="J393" s="4">
        <v>0</v>
      </c>
      <c r="K393" s="4">
        <v>0</v>
      </c>
      <c r="L393" s="4">
        <v>8.2840000000000007</v>
      </c>
      <c r="M393" s="4">
        <v>8.2840000000000007</v>
      </c>
      <c r="N393" s="4">
        <v>8.2840000000000007</v>
      </c>
      <c r="O393" s="4">
        <v>8.2840000000000007</v>
      </c>
      <c r="P393" s="4">
        <v>0</v>
      </c>
      <c r="Q393" s="3" t="s">
        <v>26</v>
      </c>
      <c r="R393" s="3">
        <v>0</v>
      </c>
      <c r="S393" s="4">
        <v>0</v>
      </c>
      <c r="T393" s="4">
        <v>59</v>
      </c>
      <c r="U393" s="4">
        <v>2</v>
      </c>
      <c r="V393" s="4">
        <f>IF(ISERROR(VLOOKUP($S$393,'TAR FIN'!$A$1:$O$88,15,0)),0,VLOOKUP($S$393,'TAR FIN'!$A$1:$O$88,15,0))</f>
        <v>0</v>
      </c>
      <c r="W393" s="4">
        <f>IF(ISERROR(VLOOKUP($T$393,'TAR FIN'!$A$1:$O$88,15,0)),0,VLOOKUP($T$393,'TAR FIN'!$A$1:$O$88,15,0))</f>
        <v>370.31</v>
      </c>
      <c r="X393" s="4">
        <f>IF(ISERROR(VLOOKUP($U$393,'TAR FIN'!$A$1:$O$88,15,0)),0,VLOOKUP($U$393,'TAR FIN'!$A$1:$O$88,15,0))</f>
        <v>150.26</v>
      </c>
      <c r="Y393" s="4"/>
      <c r="Z393" s="4">
        <f ca="1">('TUSD BE'!$AM$47+'TUSD BF'!$AM$47+'TUSD CVA'!$AM$47)*1</f>
        <v>438.41907129175127</v>
      </c>
      <c r="AA393" s="4">
        <f>('TE BE'!$AB$37+'TE BF'!$AB$37+'TE CVA'!$AB$37)*1</f>
        <v>136.62265710865657</v>
      </c>
      <c r="AB393" s="4">
        <f>$K$393*$V$393</f>
        <v>0</v>
      </c>
      <c r="AC393" s="4">
        <f>$M$393*$W$393</f>
        <v>3067.6480400000005</v>
      </c>
      <c r="AD393" s="4">
        <f>$O$393*$X$393</f>
        <v>1244.7538400000001</v>
      </c>
      <c r="AE393" s="4">
        <f>$K$393*$Y$393</f>
        <v>0</v>
      </c>
      <c r="AF393" s="4">
        <f ca="1">$M$393*$Z$393</f>
        <v>3631.8635865808678</v>
      </c>
      <c r="AG393" s="4">
        <f>$O$393*$AA$393</f>
        <v>1131.7820914881111</v>
      </c>
    </row>
    <row r="394" spans="1:33" ht="11.25" customHeight="1" x14ac:dyDescent="0.25">
      <c r="A394" s="3" t="s">
        <v>21</v>
      </c>
      <c r="B394" s="3" t="s">
        <v>33</v>
      </c>
      <c r="C394" s="3" t="s">
        <v>41</v>
      </c>
      <c r="D394" s="3" t="s">
        <v>40</v>
      </c>
      <c r="E394" s="3" t="s">
        <v>25</v>
      </c>
      <c r="F394" s="3" t="s">
        <v>25</v>
      </c>
      <c r="G394" s="3" t="s">
        <v>25</v>
      </c>
      <c r="H394" s="3" t="s">
        <v>38</v>
      </c>
      <c r="I394" s="6">
        <v>44593</v>
      </c>
      <c r="J394" s="4">
        <v>0</v>
      </c>
      <c r="K394" s="4">
        <v>0</v>
      </c>
      <c r="L394" s="4">
        <v>8.5079999999999991</v>
      </c>
      <c r="M394" s="4">
        <v>8.5079999999999991</v>
      </c>
      <c r="N394" s="4">
        <v>8.5079999999999991</v>
      </c>
      <c r="O394" s="4">
        <v>8.5079999999999991</v>
      </c>
      <c r="P394" s="4">
        <v>0</v>
      </c>
      <c r="Q394" s="3" t="s">
        <v>26</v>
      </c>
      <c r="R394" s="3">
        <v>0</v>
      </c>
      <c r="S394" s="4">
        <v>0</v>
      </c>
      <c r="T394" s="4">
        <v>59</v>
      </c>
      <c r="U394" s="4">
        <v>2</v>
      </c>
      <c r="V394" s="4">
        <f>IF(ISERROR(VLOOKUP($S$394,'TAR FIN'!$A$1:$O$88,15,0)),0,VLOOKUP($S$394,'TAR FIN'!$A$1:$O$88,15,0))</f>
        <v>0</v>
      </c>
      <c r="W394" s="4">
        <f>IF(ISERROR(VLOOKUP($T$394,'TAR FIN'!$A$1:$O$88,15,0)),0,VLOOKUP($T$394,'TAR FIN'!$A$1:$O$88,15,0))</f>
        <v>370.31</v>
      </c>
      <c r="X394" s="4">
        <f>IF(ISERROR(VLOOKUP($U$394,'TAR FIN'!$A$1:$O$88,15,0)),0,VLOOKUP($U$394,'TAR FIN'!$A$1:$O$88,15,0))</f>
        <v>150.26</v>
      </c>
      <c r="Y394" s="4"/>
      <c r="Z394" s="4">
        <f ca="1">('TUSD BE'!$AM$47+'TUSD BF'!$AM$47+'TUSD CVA'!$AM$47)*1</f>
        <v>438.41907129175127</v>
      </c>
      <c r="AA394" s="4">
        <f>('TE BE'!$AB$37+'TE BF'!$AB$37+'TE CVA'!$AB$37)*1</f>
        <v>136.62265710865657</v>
      </c>
      <c r="AB394" s="4">
        <f>$K$394*$V$394</f>
        <v>0</v>
      </c>
      <c r="AC394" s="4">
        <f>$M$394*$W$394</f>
        <v>3150.5974799999999</v>
      </c>
      <c r="AD394" s="4">
        <f>$O$394*$X$394</f>
        <v>1278.4120799999998</v>
      </c>
      <c r="AE394" s="4">
        <f>$K$394*$Y$394</f>
        <v>0</v>
      </c>
      <c r="AF394" s="4">
        <f ca="1">$M$394*$Z$394</f>
        <v>3730.0694585502192</v>
      </c>
      <c r="AG394" s="4">
        <f>$O$394*$AA$394</f>
        <v>1162.38556668045</v>
      </c>
    </row>
    <row r="395" spans="1:33" ht="11.25" customHeight="1" x14ac:dyDescent="0.25">
      <c r="A395" s="3" t="s">
        <v>21</v>
      </c>
      <c r="B395" s="3" t="s">
        <v>33</v>
      </c>
      <c r="C395" s="3" t="s">
        <v>41</v>
      </c>
      <c r="D395" s="3" t="s">
        <v>40</v>
      </c>
      <c r="E395" s="3" t="s">
        <v>25</v>
      </c>
      <c r="F395" s="3" t="s">
        <v>25</v>
      </c>
      <c r="G395" s="3" t="s">
        <v>25</v>
      </c>
      <c r="H395" s="3" t="s">
        <v>38</v>
      </c>
      <c r="I395" s="6">
        <v>44621</v>
      </c>
      <c r="J395" s="4">
        <v>0</v>
      </c>
      <c r="K395" s="4">
        <v>0</v>
      </c>
      <c r="L395" s="4">
        <v>6.3239999999999998</v>
      </c>
      <c r="M395" s="4">
        <v>6.3239999999999998</v>
      </c>
      <c r="N395" s="4">
        <v>6.3239999999999998</v>
      </c>
      <c r="O395" s="4">
        <v>6.3239999999999998</v>
      </c>
      <c r="P395" s="4">
        <v>0</v>
      </c>
      <c r="Q395" s="3" t="s">
        <v>26</v>
      </c>
      <c r="R395" s="3">
        <v>0</v>
      </c>
      <c r="S395" s="4">
        <v>0</v>
      </c>
      <c r="T395" s="4">
        <v>59</v>
      </c>
      <c r="U395" s="4">
        <v>2</v>
      </c>
      <c r="V395" s="4">
        <f>IF(ISERROR(VLOOKUP($S$395,'TAR FIN'!$A$1:$O$88,15,0)),0,VLOOKUP($S$395,'TAR FIN'!$A$1:$O$88,15,0))</f>
        <v>0</v>
      </c>
      <c r="W395" s="4">
        <f>IF(ISERROR(VLOOKUP($T$395,'TAR FIN'!$A$1:$O$88,15,0)),0,VLOOKUP($T$395,'TAR FIN'!$A$1:$O$88,15,0))</f>
        <v>370.31</v>
      </c>
      <c r="X395" s="4">
        <f>IF(ISERROR(VLOOKUP($U$395,'TAR FIN'!$A$1:$O$88,15,0)),0,VLOOKUP($U$395,'TAR FIN'!$A$1:$O$88,15,0))</f>
        <v>150.26</v>
      </c>
      <c r="Y395" s="4"/>
      <c r="Z395" s="4">
        <f ca="1">('TUSD BE'!$AM$47+'TUSD BF'!$AM$47+'TUSD CVA'!$AM$47)*1</f>
        <v>438.41907129175127</v>
      </c>
      <c r="AA395" s="4">
        <f>('TE BE'!$AB$37+'TE BF'!$AB$37+'TE CVA'!$AB$37)*1</f>
        <v>136.62265710865657</v>
      </c>
      <c r="AB395" s="4">
        <f>$K$395*$V$395</f>
        <v>0</v>
      </c>
      <c r="AC395" s="4">
        <f>$M$395*$W$395</f>
        <v>2341.8404399999999</v>
      </c>
      <c r="AD395" s="4">
        <f>$O$395*$X$395</f>
        <v>950.24423999999988</v>
      </c>
      <c r="AE395" s="4">
        <f>$K$395*$Y$395</f>
        <v>0</v>
      </c>
      <c r="AF395" s="4">
        <f ca="1">$M$395*$Z$395</f>
        <v>2772.5622068490347</v>
      </c>
      <c r="AG395" s="4">
        <f>$O$395*$AA$395</f>
        <v>864.00168355514415</v>
      </c>
    </row>
    <row r="396" spans="1:33" ht="11.25" customHeight="1" x14ac:dyDescent="0.25">
      <c r="A396" s="3" t="s">
        <v>21</v>
      </c>
      <c r="B396" s="3" t="s">
        <v>33</v>
      </c>
      <c r="C396" s="3" t="s">
        <v>41</v>
      </c>
      <c r="D396" s="3" t="s">
        <v>40</v>
      </c>
      <c r="E396" s="3" t="s">
        <v>25</v>
      </c>
      <c r="F396" s="3" t="s">
        <v>25</v>
      </c>
      <c r="G396" s="3" t="s">
        <v>25</v>
      </c>
      <c r="H396" s="3" t="s">
        <v>38</v>
      </c>
      <c r="I396" s="6">
        <v>44652</v>
      </c>
      <c r="J396" s="4">
        <v>0</v>
      </c>
      <c r="K396" s="4">
        <v>0</v>
      </c>
      <c r="L396" s="4">
        <v>6.3140000000000001</v>
      </c>
      <c r="M396" s="4">
        <v>6.3140000000000001</v>
      </c>
      <c r="N396" s="4">
        <v>6.3140000000000001</v>
      </c>
      <c r="O396" s="4">
        <v>6.3140000000000001</v>
      </c>
      <c r="P396" s="4">
        <v>0</v>
      </c>
      <c r="Q396" s="3" t="s">
        <v>26</v>
      </c>
      <c r="R396" s="3">
        <v>0</v>
      </c>
      <c r="S396" s="4">
        <v>0</v>
      </c>
      <c r="T396" s="4">
        <v>59</v>
      </c>
      <c r="U396" s="4">
        <v>2</v>
      </c>
      <c r="V396" s="4">
        <f>IF(ISERROR(VLOOKUP($S$396,'TAR FIN'!$A$1:$O$88,15,0)),0,VLOOKUP($S$396,'TAR FIN'!$A$1:$O$88,15,0))</f>
        <v>0</v>
      </c>
      <c r="W396" s="4">
        <f>IF(ISERROR(VLOOKUP($T$396,'TAR FIN'!$A$1:$O$88,15,0)),0,VLOOKUP($T$396,'TAR FIN'!$A$1:$O$88,15,0))</f>
        <v>370.31</v>
      </c>
      <c r="X396" s="4">
        <f>IF(ISERROR(VLOOKUP($U$396,'TAR FIN'!$A$1:$O$88,15,0)),0,VLOOKUP($U$396,'TAR FIN'!$A$1:$O$88,15,0))</f>
        <v>150.26</v>
      </c>
      <c r="Y396" s="4"/>
      <c r="Z396" s="4">
        <f ca="1">('TUSD BE'!$AM$47+'TUSD BF'!$AM$47+'TUSD CVA'!$AM$47)*1</f>
        <v>438.41907129175127</v>
      </c>
      <c r="AA396" s="4">
        <f>('TE BE'!$AB$37+'TE BF'!$AB$37+'TE CVA'!$AB$37)*1</f>
        <v>136.62265710865657</v>
      </c>
      <c r="AB396" s="4">
        <f>$K$396*$V$396</f>
        <v>0</v>
      </c>
      <c r="AC396" s="4">
        <f>$M$396*$W$396</f>
        <v>2338.1373400000002</v>
      </c>
      <c r="AD396" s="4">
        <f>$O$396*$X$396</f>
        <v>948.74163999999996</v>
      </c>
      <c r="AE396" s="4">
        <f>$K$396*$Y$396</f>
        <v>0</v>
      </c>
      <c r="AF396" s="4">
        <f ca="1">$M$396*$Z$396</f>
        <v>2768.1780161361175</v>
      </c>
      <c r="AG396" s="4">
        <f>$O$396*$AA$396</f>
        <v>862.63545698405756</v>
      </c>
    </row>
    <row r="397" spans="1:33" ht="11.25" customHeight="1" x14ac:dyDescent="0.25">
      <c r="A397" s="3" t="s">
        <v>21</v>
      </c>
      <c r="B397" s="3" t="s">
        <v>33</v>
      </c>
      <c r="C397" s="3" t="s">
        <v>41</v>
      </c>
      <c r="D397" s="3" t="s">
        <v>40</v>
      </c>
      <c r="E397" s="3" t="s">
        <v>25</v>
      </c>
      <c r="F397" s="3" t="s">
        <v>25</v>
      </c>
      <c r="G397" s="3" t="s">
        <v>25</v>
      </c>
      <c r="H397" s="3" t="s">
        <v>38</v>
      </c>
      <c r="I397" s="6">
        <v>44682</v>
      </c>
      <c r="J397" s="4">
        <v>0</v>
      </c>
      <c r="K397" s="4">
        <v>0</v>
      </c>
      <c r="L397" s="4">
        <v>5.226</v>
      </c>
      <c r="M397" s="4">
        <v>5.226</v>
      </c>
      <c r="N397" s="4">
        <v>5.226</v>
      </c>
      <c r="O397" s="4">
        <v>5.226</v>
      </c>
      <c r="P397" s="4">
        <v>0</v>
      </c>
      <c r="Q397" s="3" t="s">
        <v>26</v>
      </c>
      <c r="R397" s="3">
        <v>0</v>
      </c>
      <c r="S397" s="4">
        <v>0</v>
      </c>
      <c r="T397" s="4">
        <v>59</v>
      </c>
      <c r="U397" s="4">
        <v>2</v>
      </c>
      <c r="V397" s="4">
        <f>IF(ISERROR(VLOOKUP($S$397,'TAR FIN'!$A$1:$O$88,15,0)),0,VLOOKUP($S$397,'TAR FIN'!$A$1:$O$88,15,0))</f>
        <v>0</v>
      </c>
      <c r="W397" s="4">
        <f>IF(ISERROR(VLOOKUP($T$397,'TAR FIN'!$A$1:$O$88,15,0)),0,VLOOKUP($T$397,'TAR FIN'!$A$1:$O$88,15,0))</f>
        <v>370.31</v>
      </c>
      <c r="X397" s="4">
        <f>IF(ISERROR(VLOOKUP($U$397,'TAR FIN'!$A$1:$O$88,15,0)),0,VLOOKUP($U$397,'TAR FIN'!$A$1:$O$88,15,0))</f>
        <v>150.26</v>
      </c>
      <c r="Y397" s="4"/>
      <c r="Z397" s="4">
        <f ca="1">('TUSD BE'!$AM$47+'TUSD BF'!$AM$47+'TUSD CVA'!$AM$47)*1</f>
        <v>438.41907129175127</v>
      </c>
      <c r="AA397" s="4">
        <f>('TE BE'!$AB$37+'TE BF'!$AB$37+'TE CVA'!$AB$37)*1</f>
        <v>136.62265710865657</v>
      </c>
      <c r="AB397" s="4">
        <f>$K$397*$V$397</f>
        <v>0</v>
      </c>
      <c r="AC397" s="4">
        <f>$M$397*$W$397</f>
        <v>1935.2400600000001</v>
      </c>
      <c r="AD397" s="4">
        <f>$O$397*$X$397</f>
        <v>785.25875999999994</v>
      </c>
      <c r="AE397" s="4">
        <f>$K$397*$Y$397</f>
        <v>0</v>
      </c>
      <c r="AF397" s="4">
        <f ca="1">$M$397*$Z$397</f>
        <v>2291.178066570692</v>
      </c>
      <c r="AG397" s="4">
        <f>$O$397*$AA$397</f>
        <v>713.99000604983928</v>
      </c>
    </row>
    <row r="398" spans="1:33" ht="11.25" customHeight="1" x14ac:dyDescent="0.25">
      <c r="A398" s="3" t="s">
        <v>21</v>
      </c>
      <c r="B398" s="3" t="s">
        <v>33</v>
      </c>
      <c r="C398" s="3" t="s">
        <v>41</v>
      </c>
      <c r="D398" s="3" t="s">
        <v>40</v>
      </c>
      <c r="E398" s="3" t="s">
        <v>25</v>
      </c>
      <c r="F398" s="3" t="s">
        <v>25</v>
      </c>
      <c r="G398" s="3" t="s">
        <v>25</v>
      </c>
      <c r="H398" s="3" t="s">
        <v>38</v>
      </c>
      <c r="I398" s="6">
        <v>44713</v>
      </c>
      <c r="J398" s="4">
        <v>0</v>
      </c>
      <c r="K398" s="4">
        <v>0</v>
      </c>
      <c r="L398" s="4">
        <v>4.83</v>
      </c>
      <c r="M398" s="4">
        <v>4.83</v>
      </c>
      <c r="N398" s="4">
        <v>4.83</v>
      </c>
      <c r="O398" s="4">
        <v>4.83</v>
      </c>
      <c r="P398" s="4">
        <v>0</v>
      </c>
      <c r="Q398" s="3" t="s">
        <v>26</v>
      </c>
      <c r="R398" s="3">
        <v>0</v>
      </c>
      <c r="S398" s="4">
        <v>0</v>
      </c>
      <c r="T398" s="4">
        <v>59</v>
      </c>
      <c r="U398" s="4">
        <v>2</v>
      </c>
      <c r="V398" s="4">
        <f>IF(ISERROR(VLOOKUP($S$398,'TAR FIN'!$A$1:$O$88,15,0)),0,VLOOKUP($S$398,'TAR FIN'!$A$1:$O$88,15,0))</f>
        <v>0</v>
      </c>
      <c r="W398" s="4">
        <f>IF(ISERROR(VLOOKUP($T$398,'TAR FIN'!$A$1:$O$88,15,0)),0,VLOOKUP($T$398,'TAR FIN'!$A$1:$O$88,15,0))</f>
        <v>370.31</v>
      </c>
      <c r="X398" s="4">
        <f>IF(ISERROR(VLOOKUP($U$398,'TAR FIN'!$A$1:$O$88,15,0)),0,VLOOKUP($U$398,'TAR FIN'!$A$1:$O$88,15,0))</f>
        <v>150.26</v>
      </c>
      <c r="Y398" s="4"/>
      <c r="Z398" s="4">
        <f ca="1">('TUSD BE'!$AM$47+'TUSD BF'!$AM$47+'TUSD CVA'!$AM$47)*1</f>
        <v>438.41907129175127</v>
      </c>
      <c r="AA398" s="4">
        <f>('TE BE'!$AB$37+'TE BF'!$AB$37+'TE CVA'!$AB$37)*1</f>
        <v>136.62265710865657</v>
      </c>
      <c r="AB398" s="4">
        <f>$K$398*$V$398</f>
        <v>0</v>
      </c>
      <c r="AC398" s="4">
        <f>$M$398*$W$398</f>
        <v>1788.5973000000001</v>
      </c>
      <c r="AD398" s="4">
        <f>$O$398*$X$398</f>
        <v>725.75580000000002</v>
      </c>
      <c r="AE398" s="4">
        <f>$K$398*$Y$398</f>
        <v>0</v>
      </c>
      <c r="AF398" s="4">
        <f ca="1">$M$398*$Z$398</f>
        <v>2117.5641143391586</v>
      </c>
      <c r="AG398" s="4">
        <f>$O$398*$AA$398</f>
        <v>659.88743383481119</v>
      </c>
    </row>
    <row r="399" spans="1:33" ht="11.25" customHeight="1" x14ac:dyDescent="0.25">
      <c r="A399" s="3" t="s">
        <v>21</v>
      </c>
      <c r="B399" s="3" t="s">
        <v>33</v>
      </c>
      <c r="C399" s="3" t="s">
        <v>41</v>
      </c>
      <c r="D399" s="3" t="s">
        <v>40</v>
      </c>
      <c r="E399" s="3" t="s">
        <v>25</v>
      </c>
      <c r="F399" s="3" t="s">
        <v>25</v>
      </c>
      <c r="G399" s="3" t="s">
        <v>25</v>
      </c>
      <c r="H399" s="3" t="s">
        <v>38</v>
      </c>
      <c r="I399" s="6">
        <v>44743</v>
      </c>
      <c r="J399" s="4">
        <v>0</v>
      </c>
      <c r="K399" s="4">
        <v>0</v>
      </c>
      <c r="L399" s="4">
        <v>3.302</v>
      </c>
      <c r="M399" s="4">
        <v>3.302</v>
      </c>
      <c r="N399" s="4">
        <v>3.302</v>
      </c>
      <c r="O399" s="4">
        <v>3.302</v>
      </c>
      <c r="P399" s="4">
        <v>0</v>
      </c>
      <c r="Q399" s="3" t="s">
        <v>26</v>
      </c>
      <c r="R399" s="3">
        <v>0</v>
      </c>
      <c r="S399" s="4">
        <v>0</v>
      </c>
      <c r="T399" s="4">
        <v>59</v>
      </c>
      <c r="U399" s="4">
        <v>2</v>
      </c>
      <c r="V399" s="4">
        <f>IF(ISERROR(VLOOKUP($S$399,'TAR FIN'!$A$1:$O$88,15,0)),0,VLOOKUP($S$399,'TAR FIN'!$A$1:$O$88,15,0))</f>
        <v>0</v>
      </c>
      <c r="W399" s="4">
        <f>IF(ISERROR(VLOOKUP($T$399,'TAR FIN'!$A$1:$O$88,15,0)),0,VLOOKUP($T$399,'TAR FIN'!$A$1:$O$88,15,0))</f>
        <v>370.31</v>
      </c>
      <c r="X399" s="4">
        <f>IF(ISERROR(VLOOKUP($U$399,'TAR FIN'!$A$1:$O$88,15,0)),0,VLOOKUP($U$399,'TAR FIN'!$A$1:$O$88,15,0))</f>
        <v>150.26</v>
      </c>
      <c r="Y399" s="4"/>
      <c r="Z399" s="4">
        <f ca="1">('TUSD BE'!$AM$47+'TUSD BF'!$AM$47+'TUSD CVA'!$AM$47)*1</f>
        <v>438.41907129175127</v>
      </c>
      <c r="AA399" s="4">
        <f>('TE BE'!$AB$37+'TE BF'!$AB$37+'TE CVA'!$AB$37)*1</f>
        <v>136.62265710865657</v>
      </c>
      <c r="AB399" s="4">
        <f>$K$399*$V$399</f>
        <v>0</v>
      </c>
      <c r="AC399" s="4">
        <f>$M$399*$W$399</f>
        <v>1222.7636199999999</v>
      </c>
      <c r="AD399" s="4">
        <f>$O$399*$X$399</f>
        <v>496.15851999999995</v>
      </c>
      <c r="AE399" s="4">
        <f>$K$399*$Y$399</f>
        <v>0</v>
      </c>
      <c r="AF399" s="4">
        <f ca="1">$M$399*$Z$399</f>
        <v>1447.6597734053628</v>
      </c>
      <c r="AG399" s="4">
        <f>$O$399*$AA$399</f>
        <v>451.12801377278402</v>
      </c>
    </row>
    <row r="400" spans="1:33" ht="11.25" customHeight="1" x14ac:dyDescent="0.25">
      <c r="A400" s="3" t="s">
        <v>55</v>
      </c>
      <c r="B400" s="3" t="s">
        <v>33</v>
      </c>
      <c r="C400" s="3" t="s">
        <v>41</v>
      </c>
      <c r="D400" s="3" t="s">
        <v>40</v>
      </c>
      <c r="E400" s="3" t="s">
        <v>25</v>
      </c>
      <c r="F400" s="3" t="s">
        <v>25</v>
      </c>
      <c r="G400" s="3" t="s">
        <v>25</v>
      </c>
      <c r="H400" s="3" t="s">
        <v>38</v>
      </c>
      <c r="I400" s="6">
        <v>44774</v>
      </c>
      <c r="J400" s="4">
        <v>0</v>
      </c>
      <c r="K400" s="4">
        <v>0</v>
      </c>
      <c r="L400" s="4">
        <v>3.302</v>
      </c>
      <c r="M400" s="4">
        <v>3.302</v>
      </c>
      <c r="N400" s="4">
        <v>3.302</v>
      </c>
      <c r="O400" s="4">
        <v>3.302</v>
      </c>
      <c r="P400" s="4">
        <v>0</v>
      </c>
      <c r="Q400" s="3" t="s">
        <v>26</v>
      </c>
      <c r="R400" s="3">
        <v>0</v>
      </c>
      <c r="S400" s="4">
        <v>0</v>
      </c>
      <c r="T400" s="4">
        <v>59</v>
      </c>
      <c r="U400" s="4">
        <v>2</v>
      </c>
      <c r="V400" s="4">
        <f>IF(ISERROR(VLOOKUP($S$400,'TAR FIN'!$A$1:$O$88,15,0)),0,VLOOKUP($S$400,'TAR FIN'!$A$1:$O$88,15,0))</f>
        <v>0</v>
      </c>
      <c r="W400" s="4">
        <f>IF(ISERROR(VLOOKUP($T$400,'TAR FIN'!$A$1:$O$88,15,0)),0,VLOOKUP($T$400,'TAR FIN'!$A$1:$O$88,15,0))</f>
        <v>370.31</v>
      </c>
      <c r="X400" s="4">
        <f>IF(ISERROR(VLOOKUP($U$400,'TAR FIN'!$A$1:$O$88,15,0)),0,VLOOKUP($U$400,'TAR FIN'!$A$1:$O$88,15,0))</f>
        <v>150.26</v>
      </c>
      <c r="Y400" s="4"/>
      <c r="Z400" s="4">
        <f ca="1">('TUSD BE'!$AM$47+'TUSD BF'!$AM$47+'TUSD CVA'!$AM$47)*1</f>
        <v>438.41907129175127</v>
      </c>
      <c r="AA400" s="4">
        <f>('TE BE'!$AB$37+'TE BF'!$AB$37+'TE CVA'!$AB$37)*1</f>
        <v>136.62265710865657</v>
      </c>
      <c r="AB400" s="4">
        <f>$K$400*$V$400</f>
        <v>0</v>
      </c>
      <c r="AC400" s="4">
        <f>$M$400*$W$400</f>
        <v>1222.7636199999999</v>
      </c>
      <c r="AD400" s="4">
        <f>$O$400*$X$400</f>
        <v>496.15851999999995</v>
      </c>
      <c r="AE400" s="4">
        <f>$K$400*$Y$400</f>
        <v>0</v>
      </c>
      <c r="AF400" s="4">
        <f ca="1">$M$400*$Z$400</f>
        <v>1447.6597734053628</v>
      </c>
      <c r="AG400" s="4">
        <f>$O$400*$AA$400</f>
        <v>451.12801377278402</v>
      </c>
    </row>
    <row r="401" spans="1:33" ht="11.25" customHeight="1" x14ac:dyDescent="0.25">
      <c r="A401" s="3" t="s">
        <v>21</v>
      </c>
      <c r="B401" s="3" t="s">
        <v>33</v>
      </c>
      <c r="C401" s="3" t="s">
        <v>41</v>
      </c>
      <c r="D401" s="3" t="s">
        <v>40</v>
      </c>
      <c r="E401" s="3" t="s">
        <v>25</v>
      </c>
      <c r="F401" s="3" t="s">
        <v>25</v>
      </c>
      <c r="G401" s="3" t="s">
        <v>25</v>
      </c>
      <c r="H401" s="3" t="s">
        <v>42</v>
      </c>
      <c r="I401" s="6">
        <v>44440</v>
      </c>
      <c r="J401" s="4">
        <v>0</v>
      </c>
      <c r="K401" s="4">
        <v>0</v>
      </c>
      <c r="L401" s="4">
        <v>0.08</v>
      </c>
      <c r="M401" s="4">
        <v>0.08</v>
      </c>
      <c r="N401" s="4">
        <v>0.08</v>
      </c>
      <c r="O401" s="4">
        <v>0.08</v>
      </c>
      <c r="P401" s="4">
        <v>0</v>
      </c>
      <c r="Q401" s="3" t="s">
        <v>26</v>
      </c>
      <c r="R401" s="3">
        <v>0</v>
      </c>
      <c r="S401" s="4">
        <v>0</v>
      </c>
      <c r="T401" s="4">
        <v>56</v>
      </c>
      <c r="U401" s="4">
        <v>21</v>
      </c>
      <c r="V401" s="4">
        <f>IF(ISERROR(VLOOKUP($S$401,'TAR FIN'!$A$1:$O$88,15,0)),0,VLOOKUP($S$401,'TAR FIN'!$A$1:$O$88,15,0))</f>
        <v>0</v>
      </c>
      <c r="W401" s="4">
        <f>IF(ISERROR(VLOOKUP($T$401,'TAR FIN'!$A$1:$O$88,15,0)),0,VLOOKUP($T$401,'TAR FIN'!$A$1:$O$88,15,0))</f>
        <v>954.43</v>
      </c>
      <c r="X401" s="4">
        <f>IF(ISERROR(VLOOKUP($U$401,'TAR FIN'!$A$1:$O$88,15,0)),0,VLOOKUP($U$401,'TAR FIN'!$A$1:$O$88,15,0))</f>
        <v>150.26</v>
      </c>
      <c r="Y401" s="4"/>
      <c r="Z401" s="4">
        <f ca="1">('TUSD BE'!$AM$46+'TUSD BF'!$AM$46+'TUSD CVA'!$AM$46)*1</f>
        <v>1083.5212897349343</v>
      </c>
      <c r="AA401" s="4">
        <f>('TE BE'!$AB$36+'TE BF'!$AB$36+'TE CVA'!$AB$36)*1</f>
        <v>136.62265710865657</v>
      </c>
      <c r="AB401" s="4">
        <f>$K$401*$V$401</f>
        <v>0</v>
      </c>
      <c r="AC401" s="4">
        <f>$M$401*$W$401</f>
        <v>76.354399999999998</v>
      </c>
      <c r="AD401" s="4">
        <f>$O$401*$X$401</f>
        <v>12.020799999999999</v>
      </c>
      <c r="AE401" s="4">
        <f>$K$401*$Y$401</f>
        <v>0</v>
      </c>
      <c r="AF401" s="4">
        <f ca="1">$M$401*$Z$401</f>
        <v>86.681703178794749</v>
      </c>
      <c r="AG401" s="4">
        <f>$O$401*$AA$401</f>
        <v>10.929812568692526</v>
      </c>
    </row>
    <row r="402" spans="1:33" ht="11.25" customHeight="1" x14ac:dyDescent="0.25">
      <c r="A402" s="3" t="s">
        <v>21</v>
      </c>
      <c r="B402" s="3" t="s">
        <v>33</v>
      </c>
      <c r="C402" s="3" t="s">
        <v>41</v>
      </c>
      <c r="D402" s="3" t="s">
        <v>40</v>
      </c>
      <c r="E402" s="3" t="s">
        <v>25</v>
      </c>
      <c r="F402" s="3" t="s">
        <v>25</v>
      </c>
      <c r="G402" s="3" t="s">
        <v>25</v>
      </c>
      <c r="H402" s="3" t="s">
        <v>42</v>
      </c>
      <c r="I402" s="6">
        <v>44470</v>
      </c>
      <c r="J402" s="4">
        <v>0</v>
      </c>
      <c r="K402" s="4">
        <v>0</v>
      </c>
      <c r="L402" s="4">
        <v>9.5000000000000001E-2</v>
      </c>
      <c r="M402" s="4">
        <v>9.5000000000000001E-2</v>
      </c>
      <c r="N402" s="4">
        <v>9.5000000000000001E-2</v>
      </c>
      <c r="O402" s="4">
        <v>9.5000000000000001E-2</v>
      </c>
      <c r="P402" s="4">
        <v>0</v>
      </c>
      <c r="Q402" s="3" t="s">
        <v>26</v>
      </c>
      <c r="R402" s="3">
        <v>0</v>
      </c>
      <c r="S402" s="4">
        <v>0</v>
      </c>
      <c r="T402" s="4">
        <v>56</v>
      </c>
      <c r="U402" s="4">
        <v>21</v>
      </c>
      <c r="V402" s="4">
        <f>IF(ISERROR(VLOOKUP($S$402,'TAR FIN'!$A$1:$O$88,15,0)),0,VLOOKUP($S$402,'TAR FIN'!$A$1:$O$88,15,0))</f>
        <v>0</v>
      </c>
      <c r="W402" s="4">
        <f>IF(ISERROR(VLOOKUP($T$402,'TAR FIN'!$A$1:$O$88,15,0)),0,VLOOKUP($T$402,'TAR FIN'!$A$1:$O$88,15,0))</f>
        <v>954.43</v>
      </c>
      <c r="X402" s="4">
        <f>IF(ISERROR(VLOOKUP($U$402,'TAR FIN'!$A$1:$O$88,15,0)),0,VLOOKUP($U$402,'TAR FIN'!$A$1:$O$88,15,0))</f>
        <v>150.26</v>
      </c>
      <c r="Y402" s="4"/>
      <c r="Z402" s="4">
        <f ca="1">('TUSD BE'!$AM$46+'TUSD BF'!$AM$46+'TUSD CVA'!$AM$46)*1</f>
        <v>1083.5212897349343</v>
      </c>
      <c r="AA402" s="4">
        <f>('TE BE'!$AB$36+'TE BF'!$AB$36+'TE CVA'!$AB$36)*1</f>
        <v>136.62265710865657</v>
      </c>
      <c r="AB402" s="4">
        <f>$K$402*$V$402</f>
        <v>0</v>
      </c>
      <c r="AC402" s="4">
        <f>$M$402*$W$402</f>
        <v>90.670850000000002</v>
      </c>
      <c r="AD402" s="4">
        <f>$O$402*$X$402</f>
        <v>14.274699999999999</v>
      </c>
      <c r="AE402" s="4">
        <f>$K$402*$Y$402</f>
        <v>0</v>
      </c>
      <c r="AF402" s="4">
        <f ca="1">$M$402*$Z$402</f>
        <v>102.93452252481876</v>
      </c>
      <c r="AG402" s="4">
        <f>$O$402*$AA$402</f>
        <v>12.979152425322374</v>
      </c>
    </row>
    <row r="403" spans="1:33" ht="11.25" customHeight="1" x14ac:dyDescent="0.25">
      <c r="A403" s="3" t="s">
        <v>21</v>
      </c>
      <c r="B403" s="3" t="s">
        <v>33</v>
      </c>
      <c r="C403" s="3" t="s">
        <v>41</v>
      </c>
      <c r="D403" s="3" t="s">
        <v>40</v>
      </c>
      <c r="E403" s="3" t="s">
        <v>25</v>
      </c>
      <c r="F403" s="3" t="s">
        <v>25</v>
      </c>
      <c r="G403" s="3" t="s">
        <v>25</v>
      </c>
      <c r="H403" s="3" t="s">
        <v>42</v>
      </c>
      <c r="I403" s="6">
        <v>44501</v>
      </c>
      <c r="J403" s="4">
        <v>0</v>
      </c>
      <c r="K403" s="4">
        <v>0</v>
      </c>
      <c r="L403" s="4">
        <v>0.104</v>
      </c>
      <c r="M403" s="4">
        <v>0.104</v>
      </c>
      <c r="N403" s="4">
        <v>0.104</v>
      </c>
      <c r="O403" s="4">
        <v>0.104</v>
      </c>
      <c r="P403" s="4">
        <v>0</v>
      </c>
      <c r="Q403" s="3" t="s">
        <v>26</v>
      </c>
      <c r="R403" s="3">
        <v>0</v>
      </c>
      <c r="S403" s="4">
        <v>0</v>
      </c>
      <c r="T403" s="4">
        <v>56</v>
      </c>
      <c r="U403" s="4">
        <v>21</v>
      </c>
      <c r="V403" s="4">
        <f>IF(ISERROR(VLOOKUP($S$403,'TAR FIN'!$A$1:$O$88,15,0)),0,VLOOKUP($S$403,'TAR FIN'!$A$1:$O$88,15,0))</f>
        <v>0</v>
      </c>
      <c r="W403" s="4">
        <f>IF(ISERROR(VLOOKUP($T$403,'TAR FIN'!$A$1:$O$88,15,0)),0,VLOOKUP($T$403,'TAR FIN'!$A$1:$O$88,15,0))</f>
        <v>954.43</v>
      </c>
      <c r="X403" s="4">
        <f>IF(ISERROR(VLOOKUP($U$403,'TAR FIN'!$A$1:$O$88,15,0)),0,VLOOKUP($U$403,'TAR FIN'!$A$1:$O$88,15,0))</f>
        <v>150.26</v>
      </c>
      <c r="Y403" s="4"/>
      <c r="Z403" s="4">
        <f ca="1">('TUSD BE'!$AM$46+'TUSD BF'!$AM$46+'TUSD CVA'!$AM$46)*1</f>
        <v>1083.5212897349343</v>
      </c>
      <c r="AA403" s="4">
        <f>('TE BE'!$AB$36+'TE BF'!$AB$36+'TE CVA'!$AB$36)*1</f>
        <v>136.62265710865657</v>
      </c>
      <c r="AB403" s="4">
        <f>$K$403*$V$403</f>
        <v>0</v>
      </c>
      <c r="AC403" s="4">
        <f>$M$403*$W$403</f>
        <v>99.260719999999992</v>
      </c>
      <c r="AD403" s="4">
        <f>$O$403*$X$403</f>
        <v>15.627039999999999</v>
      </c>
      <c r="AE403" s="4">
        <f>$K$403*$Y$403</f>
        <v>0</v>
      </c>
      <c r="AF403" s="4">
        <f ca="1">$M$403*$Z$403</f>
        <v>112.68621413243316</v>
      </c>
      <c r="AG403" s="4">
        <f>$O$403*$AA$403</f>
        <v>14.208756339300283</v>
      </c>
    </row>
    <row r="404" spans="1:33" ht="11.25" customHeight="1" x14ac:dyDescent="0.25">
      <c r="A404" s="3" t="s">
        <v>21</v>
      </c>
      <c r="B404" s="3" t="s">
        <v>33</v>
      </c>
      <c r="C404" s="3" t="s">
        <v>41</v>
      </c>
      <c r="D404" s="3" t="s">
        <v>40</v>
      </c>
      <c r="E404" s="3" t="s">
        <v>25</v>
      </c>
      <c r="F404" s="3" t="s">
        <v>25</v>
      </c>
      <c r="G404" s="3" t="s">
        <v>25</v>
      </c>
      <c r="H404" s="3" t="s">
        <v>42</v>
      </c>
      <c r="I404" s="6">
        <v>44531</v>
      </c>
      <c r="J404" s="4">
        <v>0</v>
      </c>
      <c r="K404" s="4">
        <v>0</v>
      </c>
      <c r="L404" s="4">
        <v>0.26700000000000002</v>
      </c>
      <c r="M404" s="4">
        <v>0.26700000000000002</v>
      </c>
      <c r="N404" s="4">
        <v>0.26700000000000002</v>
      </c>
      <c r="O404" s="4">
        <v>0.26700000000000002</v>
      </c>
      <c r="P404" s="4">
        <v>0</v>
      </c>
      <c r="Q404" s="3" t="s">
        <v>26</v>
      </c>
      <c r="R404" s="3">
        <v>0</v>
      </c>
      <c r="S404" s="4">
        <v>0</v>
      </c>
      <c r="T404" s="4">
        <v>56</v>
      </c>
      <c r="U404" s="4">
        <v>21</v>
      </c>
      <c r="V404" s="4">
        <f>IF(ISERROR(VLOOKUP($S$404,'TAR FIN'!$A$1:$O$88,15,0)),0,VLOOKUP($S$404,'TAR FIN'!$A$1:$O$88,15,0))</f>
        <v>0</v>
      </c>
      <c r="W404" s="4">
        <f>IF(ISERROR(VLOOKUP($T$404,'TAR FIN'!$A$1:$O$88,15,0)),0,VLOOKUP($T$404,'TAR FIN'!$A$1:$O$88,15,0))</f>
        <v>954.43</v>
      </c>
      <c r="X404" s="4">
        <f>IF(ISERROR(VLOOKUP($U$404,'TAR FIN'!$A$1:$O$88,15,0)),0,VLOOKUP($U$404,'TAR FIN'!$A$1:$O$88,15,0))</f>
        <v>150.26</v>
      </c>
      <c r="Y404" s="4"/>
      <c r="Z404" s="4">
        <f ca="1">('TUSD BE'!$AM$46+'TUSD BF'!$AM$46+'TUSD CVA'!$AM$46)*1</f>
        <v>1083.5212897349343</v>
      </c>
      <c r="AA404" s="4">
        <f>('TE BE'!$AB$36+'TE BF'!$AB$36+'TE CVA'!$AB$36)*1</f>
        <v>136.62265710865657</v>
      </c>
      <c r="AB404" s="4">
        <f>$K$404*$V$404</f>
        <v>0</v>
      </c>
      <c r="AC404" s="4">
        <f>$M$404*$W$404</f>
        <v>254.83280999999999</v>
      </c>
      <c r="AD404" s="4">
        <f>$O$404*$X$404</f>
        <v>40.119419999999998</v>
      </c>
      <c r="AE404" s="4">
        <f>$K$404*$Y$404</f>
        <v>0</v>
      </c>
      <c r="AF404" s="4">
        <f ca="1">$M$404*$Z$404</f>
        <v>289.30018435922744</v>
      </c>
      <c r="AG404" s="4">
        <f>$O$404*$AA$404</f>
        <v>36.478249448011304</v>
      </c>
    </row>
    <row r="405" spans="1:33" ht="11.25" customHeight="1" x14ac:dyDescent="0.25">
      <c r="A405" s="3" t="s">
        <v>21</v>
      </c>
      <c r="B405" s="3" t="s">
        <v>33</v>
      </c>
      <c r="C405" s="3" t="s">
        <v>41</v>
      </c>
      <c r="D405" s="3" t="s">
        <v>40</v>
      </c>
      <c r="E405" s="3" t="s">
        <v>25</v>
      </c>
      <c r="F405" s="3" t="s">
        <v>25</v>
      </c>
      <c r="G405" s="3" t="s">
        <v>25</v>
      </c>
      <c r="H405" s="3" t="s">
        <v>42</v>
      </c>
      <c r="I405" s="6">
        <v>44562</v>
      </c>
      <c r="J405" s="4">
        <v>0</v>
      </c>
      <c r="K405" s="4">
        <v>0</v>
      </c>
      <c r="L405" s="4">
        <v>0.26400000000000001</v>
      </c>
      <c r="M405" s="4">
        <v>0.26400000000000001</v>
      </c>
      <c r="N405" s="4">
        <v>0.26400000000000001</v>
      </c>
      <c r="O405" s="4">
        <v>0.26400000000000001</v>
      </c>
      <c r="P405" s="4">
        <v>0</v>
      </c>
      <c r="Q405" s="3" t="s">
        <v>26</v>
      </c>
      <c r="R405" s="3">
        <v>0</v>
      </c>
      <c r="S405" s="4">
        <v>0</v>
      </c>
      <c r="T405" s="4">
        <v>56</v>
      </c>
      <c r="U405" s="4">
        <v>21</v>
      </c>
      <c r="V405" s="4">
        <f>IF(ISERROR(VLOOKUP($S$405,'TAR FIN'!$A$1:$O$88,15,0)),0,VLOOKUP($S$405,'TAR FIN'!$A$1:$O$88,15,0))</f>
        <v>0</v>
      </c>
      <c r="W405" s="4">
        <f>IF(ISERROR(VLOOKUP($T$405,'TAR FIN'!$A$1:$O$88,15,0)),0,VLOOKUP($T$405,'TAR FIN'!$A$1:$O$88,15,0))</f>
        <v>954.43</v>
      </c>
      <c r="X405" s="4">
        <f>IF(ISERROR(VLOOKUP($U$405,'TAR FIN'!$A$1:$O$88,15,0)),0,VLOOKUP($U$405,'TAR FIN'!$A$1:$O$88,15,0))</f>
        <v>150.26</v>
      </c>
      <c r="Y405" s="4"/>
      <c r="Z405" s="4">
        <f ca="1">('TUSD BE'!$AM$46+'TUSD BF'!$AM$46+'TUSD CVA'!$AM$46)*1</f>
        <v>1083.5212897349343</v>
      </c>
      <c r="AA405" s="4">
        <f>('TE BE'!$AB$36+'TE BF'!$AB$36+'TE CVA'!$AB$36)*1</f>
        <v>136.62265710865657</v>
      </c>
      <c r="AB405" s="4">
        <f>$K$405*$V$405</f>
        <v>0</v>
      </c>
      <c r="AC405" s="4">
        <f>$M$405*$W$405</f>
        <v>251.96951999999999</v>
      </c>
      <c r="AD405" s="4">
        <f>$O$405*$X$405</f>
        <v>39.668639999999996</v>
      </c>
      <c r="AE405" s="4">
        <f>$K$405*$Y$405</f>
        <v>0</v>
      </c>
      <c r="AF405" s="4">
        <f ca="1">$M$405*$Z$405</f>
        <v>286.04962049002268</v>
      </c>
      <c r="AG405" s="4">
        <f>$O$405*$AA$405</f>
        <v>36.068381476685339</v>
      </c>
    </row>
    <row r="406" spans="1:33" ht="11.25" customHeight="1" x14ac:dyDescent="0.25">
      <c r="A406" s="3" t="s">
        <v>21</v>
      </c>
      <c r="B406" s="3" t="s">
        <v>33</v>
      </c>
      <c r="C406" s="3" t="s">
        <v>41</v>
      </c>
      <c r="D406" s="3" t="s">
        <v>40</v>
      </c>
      <c r="E406" s="3" t="s">
        <v>25</v>
      </c>
      <c r="F406" s="3" t="s">
        <v>25</v>
      </c>
      <c r="G406" s="3" t="s">
        <v>25</v>
      </c>
      <c r="H406" s="3" t="s">
        <v>42</v>
      </c>
      <c r="I406" s="6">
        <v>44593</v>
      </c>
      <c r="J406" s="4">
        <v>0</v>
      </c>
      <c r="K406" s="4">
        <v>0</v>
      </c>
      <c r="L406" s="4">
        <v>0.20699999999999999</v>
      </c>
      <c r="M406" s="4">
        <v>0.20699999999999999</v>
      </c>
      <c r="N406" s="4">
        <v>0.20699999999999999</v>
      </c>
      <c r="O406" s="4">
        <v>0.20699999999999999</v>
      </c>
      <c r="P406" s="4">
        <v>0</v>
      </c>
      <c r="Q406" s="3" t="s">
        <v>26</v>
      </c>
      <c r="R406" s="3">
        <v>0</v>
      </c>
      <c r="S406" s="4">
        <v>0</v>
      </c>
      <c r="T406" s="4">
        <v>56</v>
      </c>
      <c r="U406" s="4">
        <v>21</v>
      </c>
      <c r="V406" s="4">
        <f>IF(ISERROR(VLOOKUP($S$406,'TAR FIN'!$A$1:$O$88,15,0)),0,VLOOKUP($S$406,'TAR FIN'!$A$1:$O$88,15,0))</f>
        <v>0</v>
      </c>
      <c r="W406" s="4">
        <f>IF(ISERROR(VLOOKUP($T$406,'TAR FIN'!$A$1:$O$88,15,0)),0,VLOOKUP($T$406,'TAR FIN'!$A$1:$O$88,15,0))</f>
        <v>954.43</v>
      </c>
      <c r="X406" s="4">
        <f>IF(ISERROR(VLOOKUP($U$406,'TAR FIN'!$A$1:$O$88,15,0)),0,VLOOKUP($U$406,'TAR FIN'!$A$1:$O$88,15,0))</f>
        <v>150.26</v>
      </c>
      <c r="Y406" s="4"/>
      <c r="Z406" s="4">
        <f ca="1">('TUSD BE'!$AM$46+'TUSD BF'!$AM$46+'TUSD CVA'!$AM$46)*1</f>
        <v>1083.5212897349343</v>
      </c>
      <c r="AA406" s="4">
        <f>('TE BE'!$AB$36+'TE BF'!$AB$36+'TE CVA'!$AB$36)*1</f>
        <v>136.62265710865657</v>
      </c>
      <c r="AB406" s="4">
        <f>$K$406*$V$406</f>
        <v>0</v>
      </c>
      <c r="AC406" s="4">
        <f>$M$406*$W$406</f>
        <v>197.56700999999998</v>
      </c>
      <c r="AD406" s="4">
        <f>$O$406*$X$406</f>
        <v>31.103819999999995</v>
      </c>
      <c r="AE406" s="4">
        <f>$K$406*$Y$406</f>
        <v>0</v>
      </c>
      <c r="AF406" s="4">
        <f ca="1">$M$406*$Z$406</f>
        <v>224.2889069751314</v>
      </c>
      <c r="AG406" s="4">
        <f>$O$406*$AA$406</f>
        <v>28.28089002149191</v>
      </c>
    </row>
    <row r="407" spans="1:33" ht="11.25" customHeight="1" x14ac:dyDescent="0.25">
      <c r="A407" s="3" t="s">
        <v>21</v>
      </c>
      <c r="B407" s="3" t="s">
        <v>33</v>
      </c>
      <c r="C407" s="3" t="s">
        <v>41</v>
      </c>
      <c r="D407" s="3" t="s">
        <v>40</v>
      </c>
      <c r="E407" s="3" t="s">
        <v>25</v>
      </c>
      <c r="F407" s="3" t="s">
        <v>25</v>
      </c>
      <c r="G407" s="3" t="s">
        <v>25</v>
      </c>
      <c r="H407" s="3" t="s">
        <v>42</v>
      </c>
      <c r="I407" s="6">
        <v>44621</v>
      </c>
      <c r="J407" s="4">
        <v>0</v>
      </c>
      <c r="K407" s="4">
        <v>0</v>
      </c>
      <c r="L407" s="4">
        <v>0.161</v>
      </c>
      <c r="M407" s="4">
        <v>0.161</v>
      </c>
      <c r="N407" s="4">
        <v>0.161</v>
      </c>
      <c r="O407" s="4">
        <v>0.161</v>
      </c>
      <c r="P407" s="4">
        <v>0</v>
      </c>
      <c r="Q407" s="3" t="s">
        <v>26</v>
      </c>
      <c r="R407" s="3">
        <v>0</v>
      </c>
      <c r="S407" s="4">
        <v>0</v>
      </c>
      <c r="T407" s="4">
        <v>56</v>
      </c>
      <c r="U407" s="4">
        <v>21</v>
      </c>
      <c r="V407" s="4">
        <f>IF(ISERROR(VLOOKUP($S$407,'TAR FIN'!$A$1:$O$88,15,0)),0,VLOOKUP($S$407,'TAR FIN'!$A$1:$O$88,15,0))</f>
        <v>0</v>
      </c>
      <c r="W407" s="4">
        <f>IF(ISERROR(VLOOKUP($T$407,'TAR FIN'!$A$1:$O$88,15,0)),0,VLOOKUP($T$407,'TAR FIN'!$A$1:$O$88,15,0))</f>
        <v>954.43</v>
      </c>
      <c r="X407" s="4">
        <f>IF(ISERROR(VLOOKUP($U$407,'TAR FIN'!$A$1:$O$88,15,0)),0,VLOOKUP($U$407,'TAR FIN'!$A$1:$O$88,15,0))</f>
        <v>150.26</v>
      </c>
      <c r="Y407" s="4"/>
      <c r="Z407" s="4">
        <f ca="1">('TUSD BE'!$AM$46+'TUSD BF'!$AM$46+'TUSD CVA'!$AM$46)*1</f>
        <v>1083.5212897349343</v>
      </c>
      <c r="AA407" s="4">
        <f>('TE BE'!$AB$36+'TE BF'!$AB$36+'TE CVA'!$AB$36)*1</f>
        <v>136.62265710865657</v>
      </c>
      <c r="AB407" s="4">
        <f>$K$407*$V$407</f>
        <v>0</v>
      </c>
      <c r="AC407" s="4">
        <f>$M$407*$W$407</f>
        <v>153.66323</v>
      </c>
      <c r="AD407" s="4">
        <f>$O$407*$X$407</f>
        <v>24.191859999999998</v>
      </c>
      <c r="AE407" s="4">
        <f>$K$407*$Y$407</f>
        <v>0</v>
      </c>
      <c r="AF407" s="4">
        <f ca="1">$M$407*$Z$407</f>
        <v>174.44692764732443</v>
      </c>
      <c r="AG407" s="4">
        <f>$O$407*$AA$407</f>
        <v>21.996247794493708</v>
      </c>
    </row>
    <row r="408" spans="1:33" ht="11.25" customHeight="1" x14ac:dyDescent="0.25">
      <c r="A408" s="3" t="s">
        <v>21</v>
      </c>
      <c r="B408" s="3" t="s">
        <v>33</v>
      </c>
      <c r="C408" s="3" t="s">
        <v>41</v>
      </c>
      <c r="D408" s="3" t="s">
        <v>40</v>
      </c>
      <c r="E408" s="3" t="s">
        <v>25</v>
      </c>
      <c r="F408" s="3" t="s">
        <v>25</v>
      </c>
      <c r="G408" s="3" t="s">
        <v>25</v>
      </c>
      <c r="H408" s="3" t="s">
        <v>42</v>
      </c>
      <c r="I408" s="6">
        <v>44652</v>
      </c>
      <c r="J408" s="4">
        <v>0</v>
      </c>
      <c r="K408" s="4">
        <v>0</v>
      </c>
      <c r="L408" s="4">
        <v>0.1</v>
      </c>
      <c r="M408" s="4">
        <v>0.1</v>
      </c>
      <c r="N408" s="4">
        <v>0.1</v>
      </c>
      <c r="O408" s="4">
        <v>0.1</v>
      </c>
      <c r="P408" s="4">
        <v>0</v>
      </c>
      <c r="Q408" s="3" t="s">
        <v>26</v>
      </c>
      <c r="R408" s="3">
        <v>0</v>
      </c>
      <c r="S408" s="4">
        <v>0</v>
      </c>
      <c r="T408" s="4">
        <v>56</v>
      </c>
      <c r="U408" s="4">
        <v>21</v>
      </c>
      <c r="V408" s="4">
        <f>IF(ISERROR(VLOOKUP($S$408,'TAR FIN'!$A$1:$O$88,15,0)),0,VLOOKUP($S$408,'TAR FIN'!$A$1:$O$88,15,0))</f>
        <v>0</v>
      </c>
      <c r="W408" s="4">
        <f>IF(ISERROR(VLOOKUP($T$408,'TAR FIN'!$A$1:$O$88,15,0)),0,VLOOKUP($T$408,'TAR FIN'!$A$1:$O$88,15,0))</f>
        <v>954.43</v>
      </c>
      <c r="X408" s="4">
        <f>IF(ISERROR(VLOOKUP($U$408,'TAR FIN'!$A$1:$O$88,15,0)),0,VLOOKUP($U$408,'TAR FIN'!$A$1:$O$88,15,0))</f>
        <v>150.26</v>
      </c>
      <c r="Y408" s="4"/>
      <c r="Z408" s="4">
        <f ca="1">('TUSD BE'!$AM$46+'TUSD BF'!$AM$46+'TUSD CVA'!$AM$46)*1</f>
        <v>1083.5212897349343</v>
      </c>
      <c r="AA408" s="4">
        <f>('TE BE'!$AB$36+'TE BF'!$AB$36+'TE CVA'!$AB$36)*1</f>
        <v>136.62265710865657</v>
      </c>
      <c r="AB408" s="4">
        <f>$K$408*$V$408</f>
        <v>0</v>
      </c>
      <c r="AC408" s="4">
        <f>$M$408*$W$408</f>
        <v>95.442999999999998</v>
      </c>
      <c r="AD408" s="4">
        <f>$O$408*$X$408</f>
        <v>15.026</v>
      </c>
      <c r="AE408" s="4">
        <f>$K$408*$Y$408</f>
        <v>0</v>
      </c>
      <c r="AF408" s="4">
        <f ca="1">$M$408*$Z$408</f>
        <v>108.35212897349344</v>
      </c>
      <c r="AG408" s="4">
        <f>$O$408*$AA$408</f>
        <v>13.662265710865658</v>
      </c>
    </row>
    <row r="409" spans="1:33" ht="11.25" customHeight="1" x14ac:dyDescent="0.25">
      <c r="A409" s="3" t="s">
        <v>21</v>
      </c>
      <c r="B409" s="3" t="s">
        <v>33</v>
      </c>
      <c r="C409" s="3" t="s">
        <v>41</v>
      </c>
      <c r="D409" s="3" t="s">
        <v>40</v>
      </c>
      <c r="E409" s="3" t="s">
        <v>25</v>
      </c>
      <c r="F409" s="3" t="s">
        <v>25</v>
      </c>
      <c r="G409" s="3" t="s">
        <v>25</v>
      </c>
      <c r="H409" s="3" t="s">
        <v>42</v>
      </c>
      <c r="I409" s="6">
        <v>44682</v>
      </c>
      <c r="J409" s="4">
        <v>0</v>
      </c>
      <c r="K409" s="4">
        <v>0</v>
      </c>
      <c r="L409" s="4">
        <v>0.104</v>
      </c>
      <c r="M409" s="4">
        <v>0.104</v>
      </c>
      <c r="N409" s="4">
        <v>0.104</v>
      </c>
      <c r="O409" s="4">
        <v>0.104</v>
      </c>
      <c r="P409" s="4">
        <v>0</v>
      </c>
      <c r="Q409" s="3" t="s">
        <v>26</v>
      </c>
      <c r="R409" s="3">
        <v>0</v>
      </c>
      <c r="S409" s="4">
        <v>0</v>
      </c>
      <c r="T409" s="4">
        <v>56</v>
      </c>
      <c r="U409" s="4">
        <v>21</v>
      </c>
      <c r="V409" s="4">
        <f>IF(ISERROR(VLOOKUP($S$409,'TAR FIN'!$A$1:$O$88,15,0)),0,VLOOKUP($S$409,'TAR FIN'!$A$1:$O$88,15,0))</f>
        <v>0</v>
      </c>
      <c r="W409" s="4">
        <f>IF(ISERROR(VLOOKUP($T$409,'TAR FIN'!$A$1:$O$88,15,0)),0,VLOOKUP($T$409,'TAR FIN'!$A$1:$O$88,15,0))</f>
        <v>954.43</v>
      </c>
      <c r="X409" s="4">
        <f>IF(ISERROR(VLOOKUP($U$409,'TAR FIN'!$A$1:$O$88,15,0)),0,VLOOKUP($U$409,'TAR FIN'!$A$1:$O$88,15,0))</f>
        <v>150.26</v>
      </c>
      <c r="Y409" s="4"/>
      <c r="Z409" s="4">
        <f ca="1">('TUSD BE'!$AM$46+'TUSD BF'!$AM$46+'TUSD CVA'!$AM$46)*1</f>
        <v>1083.5212897349343</v>
      </c>
      <c r="AA409" s="4">
        <f>('TE BE'!$AB$36+'TE BF'!$AB$36+'TE CVA'!$AB$36)*1</f>
        <v>136.62265710865657</v>
      </c>
      <c r="AB409" s="4">
        <f>$K$409*$V$409</f>
        <v>0</v>
      </c>
      <c r="AC409" s="4">
        <f>$M$409*$W$409</f>
        <v>99.260719999999992</v>
      </c>
      <c r="AD409" s="4">
        <f>$O$409*$X$409</f>
        <v>15.627039999999999</v>
      </c>
      <c r="AE409" s="4">
        <f>$K$409*$Y$409</f>
        <v>0</v>
      </c>
      <c r="AF409" s="4">
        <f ca="1">$M$409*$Z$409</f>
        <v>112.68621413243316</v>
      </c>
      <c r="AG409" s="4">
        <f>$O$409*$AA$409</f>
        <v>14.208756339300283</v>
      </c>
    </row>
    <row r="410" spans="1:33" ht="11.25" customHeight="1" x14ac:dyDescent="0.25">
      <c r="A410" s="3" t="s">
        <v>21</v>
      </c>
      <c r="B410" s="3" t="s">
        <v>33</v>
      </c>
      <c r="C410" s="3" t="s">
        <v>41</v>
      </c>
      <c r="D410" s="3" t="s">
        <v>40</v>
      </c>
      <c r="E410" s="3" t="s">
        <v>25</v>
      </c>
      <c r="F410" s="3" t="s">
        <v>25</v>
      </c>
      <c r="G410" s="3" t="s">
        <v>25</v>
      </c>
      <c r="H410" s="3" t="s">
        <v>42</v>
      </c>
      <c r="I410" s="6">
        <v>44713</v>
      </c>
      <c r="J410" s="4">
        <v>0</v>
      </c>
      <c r="K410" s="4">
        <v>0</v>
      </c>
      <c r="L410" s="4">
        <v>0.11</v>
      </c>
      <c r="M410" s="4">
        <v>0.11</v>
      </c>
      <c r="N410" s="4">
        <v>0.11</v>
      </c>
      <c r="O410" s="4">
        <v>0.11</v>
      </c>
      <c r="P410" s="4">
        <v>0</v>
      </c>
      <c r="Q410" s="3" t="s">
        <v>26</v>
      </c>
      <c r="R410" s="3">
        <v>0</v>
      </c>
      <c r="S410" s="4">
        <v>0</v>
      </c>
      <c r="T410" s="4">
        <v>56</v>
      </c>
      <c r="U410" s="4">
        <v>21</v>
      </c>
      <c r="V410" s="4">
        <f>IF(ISERROR(VLOOKUP($S$410,'TAR FIN'!$A$1:$O$88,15,0)),0,VLOOKUP($S$410,'TAR FIN'!$A$1:$O$88,15,0))</f>
        <v>0</v>
      </c>
      <c r="W410" s="4">
        <f>IF(ISERROR(VLOOKUP($T$410,'TAR FIN'!$A$1:$O$88,15,0)),0,VLOOKUP($T$410,'TAR FIN'!$A$1:$O$88,15,0))</f>
        <v>954.43</v>
      </c>
      <c r="X410" s="4">
        <f>IF(ISERROR(VLOOKUP($U$410,'TAR FIN'!$A$1:$O$88,15,0)),0,VLOOKUP($U$410,'TAR FIN'!$A$1:$O$88,15,0))</f>
        <v>150.26</v>
      </c>
      <c r="Y410" s="4"/>
      <c r="Z410" s="4">
        <f ca="1">('TUSD BE'!$AM$46+'TUSD BF'!$AM$46+'TUSD CVA'!$AM$46)*1</f>
        <v>1083.5212897349343</v>
      </c>
      <c r="AA410" s="4">
        <f>('TE BE'!$AB$36+'TE BF'!$AB$36+'TE CVA'!$AB$36)*1</f>
        <v>136.62265710865657</v>
      </c>
      <c r="AB410" s="4">
        <f>$K$410*$V$410</f>
        <v>0</v>
      </c>
      <c r="AC410" s="4">
        <f>$M$410*$W$410</f>
        <v>104.98729999999999</v>
      </c>
      <c r="AD410" s="4">
        <f>$O$410*$X$410</f>
        <v>16.528600000000001</v>
      </c>
      <c r="AE410" s="4">
        <f>$K$410*$Y$410</f>
        <v>0</v>
      </c>
      <c r="AF410" s="4">
        <f ca="1">$M$410*$Z$410</f>
        <v>119.18734187084277</v>
      </c>
      <c r="AG410" s="4">
        <f>$O$410*$AA$410</f>
        <v>15.028492281952223</v>
      </c>
    </row>
    <row r="411" spans="1:33" ht="11.25" customHeight="1" x14ac:dyDescent="0.25">
      <c r="A411" s="3" t="s">
        <v>21</v>
      </c>
      <c r="B411" s="3" t="s">
        <v>33</v>
      </c>
      <c r="C411" s="3" t="s">
        <v>41</v>
      </c>
      <c r="D411" s="3" t="s">
        <v>40</v>
      </c>
      <c r="E411" s="3" t="s">
        <v>25</v>
      </c>
      <c r="F411" s="3" t="s">
        <v>25</v>
      </c>
      <c r="G411" s="3" t="s">
        <v>25</v>
      </c>
      <c r="H411" s="3" t="s">
        <v>42</v>
      </c>
      <c r="I411" s="6">
        <v>44743</v>
      </c>
      <c r="J411" s="4">
        <v>0</v>
      </c>
      <c r="K411" s="4">
        <v>0</v>
      </c>
      <c r="L411" s="4">
        <v>8.7999999999999995E-2</v>
      </c>
      <c r="M411" s="4">
        <v>8.7999999999999995E-2</v>
      </c>
      <c r="N411" s="4">
        <v>8.7999999999999995E-2</v>
      </c>
      <c r="O411" s="4">
        <v>8.7999999999999995E-2</v>
      </c>
      <c r="P411" s="4">
        <v>0</v>
      </c>
      <c r="Q411" s="3" t="s">
        <v>26</v>
      </c>
      <c r="R411" s="3">
        <v>0</v>
      </c>
      <c r="S411" s="4">
        <v>0</v>
      </c>
      <c r="T411" s="4">
        <v>56</v>
      </c>
      <c r="U411" s="4">
        <v>21</v>
      </c>
      <c r="V411" s="4">
        <f>IF(ISERROR(VLOOKUP($S$411,'TAR FIN'!$A$1:$O$88,15,0)),0,VLOOKUP($S$411,'TAR FIN'!$A$1:$O$88,15,0))</f>
        <v>0</v>
      </c>
      <c r="W411" s="4">
        <f>IF(ISERROR(VLOOKUP($T$411,'TAR FIN'!$A$1:$O$88,15,0)),0,VLOOKUP($T$411,'TAR FIN'!$A$1:$O$88,15,0))</f>
        <v>954.43</v>
      </c>
      <c r="X411" s="4">
        <f>IF(ISERROR(VLOOKUP($U$411,'TAR FIN'!$A$1:$O$88,15,0)),0,VLOOKUP($U$411,'TAR FIN'!$A$1:$O$88,15,0))</f>
        <v>150.26</v>
      </c>
      <c r="Y411" s="4"/>
      <c r="Z411" s="4">
        <f ca="1">('TUSD BE'!$AM$46+'TUSD BF'!$AM$46+'TUSD CVA'!$AM$46)*1</f>
        <v>1083.5212897349343</v>
      </c>
      <c r="AA411" s="4">
        <f>('TE BE'!$AB$36+'TE BF'!$AB$36+'TE CVA'!$AB$36)*1</f>
        <v>136.62265710865657</v>
      </c>
      <c r="AB411" s="4">
        <f>$K$411*$V$411</f>
        <v>0</v>
      </c>
      <c r="AC411" s="4">
        <f>$M$411*$W$411</f>
        <v>83.989839999999987</v>
      </c>
      <c r="AD411" s="4">
        <f>$O$411*$X$411</f>
        <v>13.222879999999998</v>
      </c>
      <c r="AE411" s="4">
        <f>$K$411*$Y$411</f>
        <v>0</v>
      </c>
      <c r="AF411" s="4">
        <f ca="1">$M$411*$Z$411</f>
        <v>95.349873496674206</v>
      </c>
      <c r="AG411" s="4">
        <f>$O$411*$AA$411</f>
        <v>12.022793825561777</v>
      </c>
    </row>
    <row r="412" spans="1:33" ht="11.25" customHeight="1" x14ac:dyDescent="0.25">
      <c r="A412" s="3" t="s">
        <v>55</v>
      </c>
      <c r="B412" s="3" t="s">
        <v>33</v>
      </c>
      <c r="C412" s="3" t="s">
        <v>41</v>
      </c>
      <c r="D412" s="3" t="s">
        <v>40</v>
      </c>
      <c r="E412" s="3" t="s">
        <v>25</v>
      </c>
      <c r="F412" s="3" t="s">
        <v>25</v>
      </c>
      <c r="G412" s="3" t="s">
        <v>25</v>
      </c>
      <c r="H412" s="3" t="s">
        <v>42</v>
      </c>
      <c r="I412" s="6">
        <v>44774</v>
      </c>
      <c r="J412" s="4">
        <v>0</v>
      </c>
      <c r="K412" s="4">
        <v>0</v>
      </c>
      <c r="L412" s="4">
        <v>8.7999999999999995E-2</v>
      </c>
      <c r="M412" s="4">
        <v>8.7999999999999995E-2</v>
      </c>
      <c r="N412" s="4">
        <v>8.7999999999999995E-2</v>
      </c>
      <c r="O412" s="4">
        <v>8.7999999999999995E-2</v>
      </c>
      <c r="P412" s="4">
        <v>0</v>
      </c>
      <c r="Q412" s="3" t="s">
        <v>26</v>
      </c>
      <c r="R412" s="3">
        <v>0</v>
      </c>
      <c r="S412" s="4">
        <v>0</v>
      </c>
      <c r="T412" s="4">
        <v>56</v>
      </c>
      <c r="U412" s="4">
        <v>21</v>
      </c>
      <c r="V412" s="4">
        <f>IF(ISERROR(VLOOKUP($S$412,'TAR FIN'!$A$1:$O$88,15,0)),0,VLOOKUP($S$412,'TAR FIN'!$A$1:$O$88,15,0))</f>
        <v>0</v>
      </c>
      <c r="W412" s="4">
        <f>IF(ISERROR(VLOOKUP($T$412,'TAR FIN'!$A$1:$O$88,15,0)),0,VLOOKUP($T$412,'TAR FIN'!$A$1:$O$88,15,0))</f>
        <v>954.43</v>
      </c>
      <c r="X412" s="4">
        <f>IF(ISERROR(VLOOKUP($U$412,'TAR FIN'!$A$1:$O$88,15,0)),0,VLOOKUP($U$412,'TAR FIN'!$A$1:$O$88,15,0))</f>
        <v>150.26</v>
      </c>
      <c r="Y412" s="4"/>
      <c r="Z412" s="4">
        <f ca="1">('TUSD BE'!$AM$46+'TUSD BF'!$AM$46+'TUSD CVA'!$AM$46)*1</f>
        <v>1083.5212897349343</v>
      </c>
      <c r="AA412" s="4">
        <f>('TE BE'!$AB$36+'TE BF'!$AB$36+'TE CVA'!$AB$36)*1</f>
        <v>136.62265710865657</v>
      </c>
      <c r="AB412" s="4">
        <f>$K$412*$V$412</f>
        <v>0</v>
      </c>
      <c r="AC412" s="4">
        <f>$M$412*$W$412</f>
        <v>83.989839999999987</v>
      </c>
      <c r="AD412" s="4">
        <f>$O$412*$X$412</f>
        <v>13.222879999999998</v>
      </c>
      <c r="AE412" s="4">
        <f>$K$412*$Y$412</f>
        <v>0</v>
      </c>
      <c r="AF412" s="4">
        <f ca="1">$M$412*$Z$412</f>
        <v>95.349873496674206</v>
      </c>
      <c r="AG412" s="4">
        <f>$O$412*$AA$412</f>
        <v>12.022793825561777</v>
      </c>
    </row>
    <row r="413" spans="1:33" ht="11.25" customHeight="1" x14ac:dyDescent="0.25">
      <c r="A413" s="3" t="s">
        <v>21</v>
      </c>
      <c r="B413" s="3" t="s">
        <v>33</v>
      </c>
      <c r="C413" s="3" t="s">
        <v>41</v>
      </c>
      <c r="D413" s="3" t="s">
        <v>40</v>
      </c>
      <c r="E413" s="3" t="s">
        <v>25</v>
      </c>
      <c r="F413" s="3" t="s">
        <v>25</v>
      </c>
      <c r="G413" s="3" t="s">
        <v>25</v>
      </c>
      <c r="H413" s="3" t="s">
        <v>37</v>
      </c>
      <c r="I413" s="6">
        <v>44440</v>
      </c>
      <c r="J413" s="4">
        <v>0</v>
      </c>
      <c r="K413" s="4">
        <v>0</v>
      </c>
      <c r="L413" s="4">
        <v>7.2999999999999995E-2</v>
      </c>
      <c r="M413" s="4">
        <v>7.2999999999999995E-2</v>
      </c>
      <c r="N413" s="4">
        <v>7.2999999999999995E-2</v>
      </c>
      <c r="O413" s="4">
        <v>7.2999999999999995E-2</v>
      </c>
      <c r="P413" s="4">
        <v>0</v>
      </c>
      <c r="Q413" s="3" t="s">
        <v>26</v>
      </c>
      <c r="R413" s="3">
        <v>0</v>
      </c>
      <c r="S413" s="4">
        <v>0</v>
      </c>
      <c r="T413" s="4">
        <v>81</v>
      </c>
      <c r="U413" s="4">
        <v>25</v>
      </c>
      <c r="V413" s="4">
        <f>IF(ISERROR(VLOOKUP($S$413,'TAR FIN'!$A$1:$O$88,15,0)),0,VLOOKUP($S$413,'TAR FIN'!$A$1:$O$88,15,0))</f>
        <v>0</v>
      </c>
      <c r="W413" s="4">
        <f>IF(ISERROR(VLOOKUP($T$413,'TAR FIN'!$A$1:$O$88,15,0)),0,VLOOKUP($T$413,'TAR FIN'!$A$1:$O$88,15,0))</f>
        <v>1538.51</v>
      </c>
      <c r="X413" s="4">
        <f>IF(ISERROR(VLOOKUP($U$413,'TAR FIN'!$A$1:$O$88,15,0)),0,VLOOKUP($U$413,'TAR FIN'!$A$1:$O$88,15,0))</f>
        <v>150.26</v>
      </c>
      <c r="Y413" s="4"/>
      <c r="Z413" s="4">
        <f ca="1">('TUSD BE'!$AM$45+'TUSD BF'!$AM$45+'TUSD CVA'!$AM$45)*1</f>
        <v>1728.6668392940069</v>
      </c>
      <c r="AA413" s="4">
        <f>('TE BE'!$AB$35+'TE BF'!$AB$35+'TE CVA'!$AB$35)*1</f>
        <v>136.62265710865657</v>
      </c>
      <c r="AB413" s="4">
        <f>$K$413*$V$413</f>
        <v>0</v>
      </c>
      <c r="AC413" s="4">
        <f>$M$413*$W$413</f>
        <v>112.31122999999999</v>
      </c>
      <c r="AD413" s="4">
        <f>$O$413*$X$413</f>
        <v>10.968979999999998</v>
      </c>
      <c r="AE413" s="4">
        <f>$K$413*$Y$413</f>
        <v>0</v>
      </c>
      <c r="AF413" s="4">
        <f ca="1">$M$413*$Z$413</f>
        <v>126.1926792684625</v>
      </c>
      <c r="AG413" s="4">
        <f>$O$413*$AA$413</f>
        <v>9.9734539689319295</v>
      </c>
    </row>
    <row r="414" spans="1:33" ht="11.25" customHeight="1" x14ac:dyDescent="0.25">
      <c r="A414" s="3" t="s">
        <v>21</v>
      </c>
      <c r="B414" s="3" t="s">
        <v>33</v>
      </c>
      <c r="C414" s="3" t="s">
        <v>41</v>
      </c>
      <c r="D414" s="3" t="s">
        <v>40</v>
      </c>
      <c r="E414" s="3" t="s">
        <v>25</v>
      </c>
      <c r="F414" s="3" t="s">
        <v>25</v>
      </c>
      <c r="G414" s="3" t="s">
        <v>25</v>
      </c>
      <c r="H414" s="3" t="s">
        <v>37</v>
      </c>
      <c r="I414" s="6">
        <v>44470</v>
      </c>
      <c r="J414" s="4">
        <v>0</v>
      </c>
      <c r="K414" s="4">
        <v>0</v>
      </c>
      <c r="L414" s="4">
        <v>0.114</v>
      </c>
      <c r="M414" s="4">
        <v>0.114</v>
      </c>
      <c r="N414" s="4">
        <v>0.114</v>
      </c>
      <c r="O414" s="4">
        <v>0.114</v>
      </c>
      <c r="P414" s="4">
        <v>0</v>
      </c>
      <c r="Q414" s="3" t="s">
        <v>26</v>
      </c>
      <c r="R414" s="3">
        <v>0</v>
      </c>
      <c r="S414" s="4">
        <v>0</v>
      </c>
      <c r="T414" s="4">
        <v>81</v>
      </c>
      <c r="U414" s="4">
        <v>25</v>
      </c>
      <c r="V414" s="4">
        <f>IF(ISERROR(VLOOKUP($S$414,'TAR FIN'!$A$1:$O$88,15,0)),0,VLOOKUP($S$414,'TAR FIN'!$A$1:$O$88,15,0))</f>
        <v>0</v>
      </c>
      <c r="W414" s="4">
        <f>IF(ISERROR(VLOOKUP($T$414,'TAR FIN'!$A$1:$O$88,15,0)),0,VLOOKUP($T$414,'TAR FIN'!$A$1:$O$88,15,0))</f>
        <v>1538.51</v>
      </c>
      <c r="X414" s="4">
        <f>IF(ISERROR(VLOOKUP($U$414,'TAR FIN'!$A$1:$O$88,15,0)),0,VLOOKUP($U$414,'TAR FIN'!$A$1:$O$88,15,0))</f>
        <v>150.26</v>
      </c>
      <c r="Y414" s="4"/>
      <c r="Z414" s="4">
        <f ca="1">('TUSD BE'!$AM$45+'TUSD BF'!$AM$45+'TUSD CVA'!$AM$45)*1</f>
        <v>1728.6668392940069</v>
      </c>
      <c r="AA414" s="4">
        <f>('TE BE'!$AB$35+'TE BF'!$AB$35+'TE CVA'!$AB$35)*1</f>
        <v>136.62265710865657</v>
      </c>
      <c r="AB414" s="4">
        <f>$K$414*$V$414</f>
        <v>0</v>
      </c>
      <c r="AC414" s="4">
        <f>$M$414*$W$414</f>
        <v>175.39014</v>
      </c>
      <c r="AD414" s="4">
        <f>$O$414*$X$414</f>
        <v>17.129639999999998</v>
      </c>
      <c r="AE414" s="4">
        <f>$K$414*$Y$414</f>
        <v>0</v>
      </c>
      <c r="AF414" s="4">
        <f ca="1">$M$414*$Z$414</f>
        <v>197.06801967951679</v>
      </c>
      <c r="AG414" s="4">
        <f>$O$414*$AA$414</f>
        <v>15.574982910386849</v>
      </c>
    </row>
    <row r="415" spans="1:33" ht="11.25" customHeight="1" x14ac:dyDescent="0.25">
      <c r="A415" s="3" t="s">
        <v>21</v>
      </c>
      <c r="B415" s="3" t="s">
        <v>33</v>
      </c>
      <c r="C415" s="3" t="s">
        <v>41</v>
      </c>
      <c r="D415" s="3" t="s">
        <v>40</v>
      </c>
      <c r="E415" s="3" t="s">
        <v>25</v>
      </c>
      <c r="F415" s="3" t="s">
        <v>25</v>
      </c>
      <c r="G415" s="3" t="s">
        <v>25</v>
      </c>
      <c r="H415" s="3" t="s">
        <v>37</v>
      </c>
      <c r="I415" s="6">
        <v>44501</v>
      </c>
      <c r="J415" s="4">
        <v>0</v>
      </c>
      <c r="K415" s="4">
        <v>0</v>
      </c>
      <c r="L415" s="4">
        <v>7.3999999999999996E-2</v>
      </c>
      <c r="M415" s="4">
        <v>7.3999999999999996E-2</v>
      </c>
      <c r="N415" s="4">
        <v>7.3999999999999996E-2</v>
      </c>
      <c r="O415" s="4">
        <v>7.3999999999999996E-2</v>
      </c>
      <c r="P415" s="4">
        <v>0</v>
      </c>
      <c r="Q415" s="3" t="s">
        <v>26</v>
      </c>
      <c r="R415" s="3">
        <v>0</v>
      </c>
      <c r="S415" s="4">
        <v>0</v>
      </c>
      <c r="T415" s="4">
        <v>81</v>
      </c>
      <c r="U415" s="4">
        <v>25</v>
      </c>
      <c r="V415" s="4">
        <f>IF(ISERROR(VLOOKUP($S$415,'TAR FIN'!$A$1:$O$88,15,0)),0,VLOOKUP($S$415,'TAR FIN'!$A$1:$O$88,15,0))</f>
        <v>0</v>
      </c>
      <c r="W415" s="4">
        <f>IF(ISERROR(VLOOKUP($T$415,'TAR FIN'!$A$1:$O$88,15,0)),0,VLOOKUP($T$415,'TAR FIN'!$A$1:$O$88,15,0))</f>
        <v>1538.51</v>
      </c>
      <c r="X415" s="4">
        <f>IF(ISERROR(VLOOKUP($U$415,'TAR FIN'!$A$1:$O$88,15,0)),0,VLOOKUP($U$415,'TAR FIN'!$A$1:$O$88,15,0))</f>
        <v>150.26</v>
      </c>
      <c r="Y415" s="4"/>
      <c r="Z415" s="4">
        <f ca="1">('TUSD BE'!$AM$45+'TUSD BF'!$AM$45+'TUSD CVA'!$AM$45)*1</f>
        <v>1728.6668392940069</v>
      </c>
      <c r="AA415" s="4">
        <f>('TE BE'!$AB$35+'TE BF'!$AB$35+'TE CVA'!$AB$35)*1</f>
        <v>136.62265710865657</v>
      </c>
      <c r="AB415" s="4">
        <f>$K$415*$V$415</f>
        <v>0</v>
      </c>
      <c r="AC415" s="4">
        <f>$M$415*$W$415</f>
        <v>113.84974</v>
      </c>
      <c r="AD415" s="4">
        <f>$O$415*$X$415</f>
        <v>11.11924</v>
      </c>
      <c r="AE415" s="4">
        <f>$K$415*$Y$415</f>
        <v>0</v>
      </c>
      <c r="AF415" s="4">
        <f ca="1">$M$415*$Z$415</f>
        <v>127.92134610775651</v>
      </c>
      <c r="AG415" s="4">
        <f>$O$415*$AA$415</f>
        <v>10.110076626040586</v>
      </c>
    </row>
    <row r="416" spans="1:33" ht="11.25" customHeight="1" x14ac:dyDescent="0.25">
      <c r="A416" s="3" t="s">
        <v>21</v>
      </c>
      <c r="B416" s="3" t="s">
        <v>33</v>
      </c>
      <c r="C416" s="3" t="s">
        <v>41</v>
      </c>
      <c r="D416" s="3" t="s">
        <v>40</v>
      </c>
      <c r="E416" s="3" t="s">
        <v>25</v>
      </c>
      <c r="F416" s="3" t="s">
        <v>25</v>
      </c>
      <c r="G416" s="3" t="s">
        <v>25</v>
      </c>
      <c r="H416" s="3" t="s">
        <v>37</v>
      </c>
      <c r="I416" s="6">
        <v>44531</v>
      </c>
      <c r="J416" s="4">
        <v>0</v>
      </c>
      <c r="K416" s="4">
        <v>0</v>
      </c>
      <c r="L416" s="4">
        <v>0.108</v>
      </c>
      <c r="M416" s="4">
        <v>0.108</v>
      </c>
      <c r="N416" s="4">
        <v>0.108</v>
      </c>
      <c r="O416" s="4">
        <v>0.108</v>
      </c>
      <c r="P416" s="4">
        <v>0</v>
      </c>
      <c r="Q416" s="3" t="s">
        <v>26</v>
      </c>
      <c r="R416" s="3">
        <v>0</v>
      </c>
      <c r="S416" s="4">
        <v>0</v>
      </c>
      <c r="T416" s="4">
        <v>81</v>
      </c>
      <c r="U416" s="4">
        <v>25</v>
      </c>
      <c r="V416" s="4">
        <f>IF(ISERROR(VLOOKUP($S$416,'TAR FIN'!$A$1:$O$88,15,0)),0,VLOOKUP($S$416,'TAR FIN'!$A$1:$O$88,15,0))</f>
        <v>0</v>
      </c>
      <c r="W416" s="4">
        <f>IF(ISERROR(VLOOKUP($T$416,'TAR FIN'!$A$1:$O$88,15,0)),0,VLOOKUP($T$416,'TAR FIN'!$A$1:$O$88,15,0))</f>
        <v>1538.51</v>
      </c>
      <c r="X416" s="4">
        <f>IF(ISERROR(VLOOKUP($U$416,'TAR FIN'!$A$1:$O$88,15,0)),0,VLOOKUP($U$416,'TAR FIN'!$A$1:$O$88,15,0))</f>
        <v>150.26</v>
      </c>
      <c r="Y416" s="4"/>
      <c r="Z416" s="4">
        <f ca="1">('TUSD BE'!$AM$45+'TUSD BF'!$AM$45+'TUSD CVA'!$AM$45)*1</f>
        <v>1728.6668392940069</v>
      </c>
      <c r="AA416" s="4">
        <f>('TE BE'!$AB$35+'TE BF'!$AB$35+'TE CVA'!$AB$35)*1</f>
        <v>136.62265710865657</v>
      </c>
      <c r="AB416" s="4">
        <f>$K$416*$V$416</f>
        <v>0</v>
      </c>
      <c r="AC416" s="4">
        <f>$M$416*$W$416</f>
        <v>166.15907999999999</v>
      </c>
      <c r="AD416" s="4">
        <f>$O$416*$X$416</f>
        <v>16.228079999999999</v>
      </c>
      <c r="AE416" s="4">
        <f>$K$416*$Y$416</f>
        <v>0</v>
      </c>
      <c r="AF416" s="4">
        <f ca="1">$M$416*$Z$416</f>
        <v>186.69601864375275</v>
      </c>
      <c r="AG416" s="4">
        <f>$O$416*$AA$416</f>
        <v>14.755246967734909</v>
      </c>
    </row>
    <row r="417" spans="1:33" ht="11.25" customHeight="1" x14ac:dyDescent="0.25">
      <c r="A417" s="3" t="s">
        <v>21</v>
      </c>
      <c r="B417" s="3" t="s">
        <v>33</v>
      </c>
      <c r="C417" s="3" t="s">
        <v>41</v>
      </c>
      <c r="D417" s="3" t="s">
        <v>40</v>
      </c>
      <c r="E417" s="3" t="s">
        <v>25</v>
      </c>
      <c r="F417" s="3" t="s">
        <v>25</v>
      </c>
      <c r="G417" s="3" t="s">
        <v>25</v>
      </c>
      <c r="H417" s="3" t="s">
        <v>37</v>
      </c>
      <c r="I417" s="6">
        <v>44562</v>
      </c>
      <c r="J417" s="4">
        <v>0</v>
      </c>
      <c r="K417" s="4">
        <v>0</v>
      </c>
      <c r="L417" s="4">
        <v>0.126</v>
      </c>
      <c r="M417" s="4">
        <v>0.126</v>
      </c>
      <c r="N417" s="4">
        <v>0.126</v>
      </c>
      <c r="O417" s="4">
        <v>0.126</v>
      </c>
      <c r="P417" s="4">
        <v>0</v>
      </c>
      <c r="Q417" s="3" t="s">
        <v>26</v>
      </c>
      <c r="R417" s="3">
        <v>0</v>
      </c>
      <c r="S417" s="4">
        <v>0</v>
      </c>
      <c r="T417" s="4">
        <v>81</v>
      </c>
      <c r="U417" s="4">
        <v>25</v>
      </c>
      <c r="V417" s="4">
        <f>IF(ISERROR(VLOOKUP($S$417,'TAR FIN'!$A$1:$O$88,15,0)),0,VLOOKUP($S$417,'TAR FIN'!$A$1:$O$88,15,0))</f>
        <v>0</v>
      </c>
      <c r="W417" s="4">
        <f>IF(ISERROR(VLOOKUP($T$417,'TAR FIN'!$A$1:$O$88,15,0)),0,VLOOKUP($T$417,'TAR FIN'!$A$1:$O$88,15,0))</f>
        <v>1538.51</v>
      </c>
      <c r="X417" s="4">
        <f>IF(ISERROR(VLOOKUP($U$417,'TAR FIN'!$A$1:$O$88,15,0)),0,VLOOKUP($U$417,'TAR FIN'!$A$1:$O$88,15,0))</f>
        <v>150.26</v>
      </c>
      <c r="Y417" s="4"/>
      <c r="Z417" s="4">
        <f ca="1">('TUSD BE'!$AM$45+'TUSD BF'!$AM$45+'TUSD CVA'!$AM$45)*1</f>
        <v>1728.6668392940069</v>
      </c>
      <c r="AA417" s="4">
        <f>('TE BE'!$AB$35+'TE BF'!$AB$35+'TE CVA'!$AB$35)*1</f>
        <v>136.62265710865657</v>
      </c>
      <c r="AB417" s="4">
        <f>$K$417*$V$417</f>
        <v>0</v>
      </c>
      <c r="AC417" s="4">
        <f>$M$417*$W$417</f>
        <v>193.85226</v>
      </c>
      <c r="AD417" s="4">
        <f>$O$417*$X$417</f>
        <v>18.932759999999998</v>
      </c>
      <c r="AE417" s="4">
        <f>$K$417*$Y$417</f>
        <v>0</v>
      </c>
      <c r="AF417" s="4">
        <f ca="1">$M$417*$Z$417</f>
        <v>217.81202175104488</v>
      </c>
      <c r="AG417" s="4">
        <f>$O$417*$AA$417</f>
        <v>17.214454795690727</v>
      </c>
    </row>
    <row r="418" spans="1:33" ht="11.25" customHeight="1" x14ac:dyDescent="0.25">
      <c r="A418" s="3" t="s">
        <v>21</v>
      </c>
      <c r="B418" s="3" t="s">
        <v>33</v>
      </c>
      <c r="C418" s="3" t="s">
        <v>41</v>
      </c>
      <c r="D418" s="3" t="s">
        <v>40</v>
      </c>
      <c r="E418" s="3" t="s">
        <v>25</v>
      </c>
      <c r="F418" s="3" t="s">
        <v>25</v>
      </c>
      <c r="G418" s="3" t="s">
        <v>25</v>
      </c>
      <c r="H418" s="3" t="s">
        <v>37</v>
      </c>
      <c r="I418" s="6">
        <v>44593</v>
      </c>
      <c r="J418" s="4">
        <v>0</v>
      </c>
      <c r="K418" s="4">
        <v>0</v>
      </c>
      <c r="L418" s="4">
        <v>8.6999999999999994E-2</v>
      </c>
      <c r="M418" s="4">
        <v>8.6999999999999994E-2</v>
      </c>
      <c r="N418" s="4">
        <v>8.6999999999999994E-2</v>
      </c>
      <c r="O418" s="4">
        <v>8.6999999999999994E-2</v>
      </c>
      <c r="P418" s="4">
        <v>0</v>
      </c>
      <c r="Q418" s="3" t="s">
        <v>26</v>
      </c>
      <c r="R418" s="3">
        <v>0</v>
      </c>
      <c r="S418" s="4">
        <v>0</v>
      </c>
      <c r="T418" s="4">
        <v>81</v>
      </c>
      <c r="U418" s="4">
        <v>25</v>
      </c>
      <c r="V418" s="4">
        <f>IF(ISERROR(VLOOKUP($S$418,'TAR FIN'!$A$1:$O$88,15,0)),0,VLOOKUP($S$418,'TAR FIN'!$A$1:$O$88,15,0))</f>
        <v>0</v>
      </c>
      <c r="W418" s="4">
        <f>IF(ISERROR(VLOOKUP($T$418,'TAR FIN'!$A$1:$O$88,15,0)),0,VLOOKUP($T$418,'TAR FIN'!$A$1:$O$88,15,0))</f>
        <v>1538.51</v>
      </c>
      <c r="X418" s="4">
        <f>IF(ISERROR(VLOOKUP($U$418,'TAR FIN'!$A$1:$O$88,15,0)),0,VLOOKUP($U$418,'TAR FIN'!$A$1:$O$88,15,0))</f>
        <v>150.26</v>
      </c>
      <c r="Y418" s="4"/>
      <c r="Z418" s="4">
        <f ca="1">('TUSD BE'!$AM$45+'TUSD BF'!$AM$45+'TUSD CVA'!$AM$45)*1</f>
        <v>1728.6668392940069</v>
      </c>
      <c r="AA418" s="4">
        <f>('TE BE'!$AB$35+'TE BF'!$AB$35+'TE CVA'!$AB$35)*1</f>
        <v>136.62265710865657</v>
      </c>
      <c r="AB418" s="4">
        <f>$K$418*$V$418</f>
        <v>0</v>
      </c>
      <c r="AC418" s="4">
        <f>$M$418*$W$418</f>
        <v>133.85037</v>
      </c>
      <c r="AD418" s="4">
        <f>$O$418*$X$418</f>
        <v>13.072619999999999</v>
      </c>
      <c r="AE418" s="4">
        <f>$K$418*$Y$418</f>
        <v>0</v>
      </c>
      <c r="AF418" s="4">
        <f ca="1">$M$418*$Z$418</f>
        <v>150.39401501857859</v>
      </c>
      <c r="AG418" s="4">
        <f>$O$418*$AA$418</f>
        <v>11.886171168453121</v>
      </c>
    </row>
    <row r="419" spans="1:33" ht="11.25" customHeight="1" x14ac:dyDescent="0.25">
      <c r="A419" s="3" t="s">
        <v>21</v>
      </c>
      <c r="B419" s="3" t="s">
        <v>33</v>
      </c>
      <c r="C419" s="3" t="s">
        <v>41</v>
      </c>
      <c r="D419" s="3" t="s">
        <v>40</v>
      </c>
      <c r="E419" s="3" t="s">
        <v>25</v>
      </c>
      <c r="F419" s="3" t="s">
        <v>25</v>
      </c>
      <c r="G419" s="3" t="s">
        <v>25</v>
      </c>
      <c r="H419" s="3" t="s">
        <v>37</v>
      </c>
      <c r="I419" s="6">
        <v>44621</v>
      </c>
      <c r="J419" s="4">
        <v>0</v>
      </c>
      <c r="K419" s="4">
        <v>0</v>
      </c>
      <c r="L419" s="4">
        <v>8.2000000000000003E-2</v>
      </c>
      <c r="M419" s="4">
        <v>8.2000000000000003E-2</v>
      </c>
      <c r="N419" s="4">
        <v>8.2000000000000003E-2</v>
      </c>
      <c r="O419" s="4">
        <v>8.2000000000000003E-2</v>
      </c>
      <c r="P419" s="4">
        <v>0</v>
      </c>
      <c r="Q419" s="3" t="s">
        <v>26</v>
      </c>
      <c r="R419" s="3">
        <v>0</v>
      </c>
      <c r="S419" s="4">
        <v>0</v>
      </c>
      <c r="T419" s="4">
        <v>81</v>
      </c>
      <c r="U419" s="4">
        <v>25</v>
      </c>
      <c r="V419" s="4">
        <f>IF(ISERROR(VLOOKUP($S$419,'TAR FIN'!$A$1:$O$88,15,0)),0,VLOOKUP($S$419,'TAR FIN'!$A$1:$O$88,15,0))</f>
        <v>0</v>
      </c>
      <c r="W419" s="4">
        <f>IF(ISERROR(VLOOKUP($T$419,'TAR FIN'!$A$1:$O$88,15,0)),0,VLOOKUP($T$419,'TAR FIN'!$A$1:$O$88,15,0))</f>
        <v>1538.51</v>
      </c>
      <c r="X419" s="4">
        <f>IF(ISERROR(VLOOKUP($U$419,'TAR FIN'!$A$1:$O$88,15,0)),0,VLOOKUP($U$419,'TAR FIN'!$A$1:$O$88,15,0))</f>
        <v>150.26</v>
      </c>
      <c r="Y419" s="4"/>
      <c r="Z419" s="4">
        <f ca="1">('TUSD BE'!$AM$45+'TUSD BF'!$AM$45+'TUSD CVA'!$AM$45)*1</f>
        <v>1728.6668392940069</v>
      </c>
      <c r="AA419" s="4">
        <f>('TE BE'!$AB$35+'TE BF'!$AB$35+'TE CVA'!$AB$35)*1</f>
        <v>136.62265710865657</v>
      </c>
      <c r="AB419" s="4">
        <f>$K$419*$V$419</f>
        <v>0</v>
      </c>
      <c r="AC419" s="4">
        <f>$M$419*$W$419</f>
        <v>126.15782</v>
      </c>
      <c r="AD419" s="4">
        <f>$O$419*$X$419</f>
        <v>12.32132</v>
      </c>
      <c r="AE419" s="4">
        <f>$K$419*$Y$419</f>
        <v>0</v>
      </c>
      <c r="AF419" s="4">
        <f ca="1">$M$419*$Z$419</f>
        <v>141.75068082210856</v>
      </c>
      <c r="AG419" s="4">
        <f>$O$419*$AA$419</f>
        <v>11.203057882909839</v>
      </c>
    </row>
    <row r="420" spans="1:33" ht="11.25" customHeight="1" x14ac:dyDescent="0.25">
      <c r="A420" s="3" t="s">
        <v>21</v>
      </c>
      <c r="B420" s="3" t="s">
        <v>33</v>
      </c>
      <c r="C420" s="3" t="s">
        <v>41</v>
      </c>
      <c r="D420" s="3" t="s">
        <v>40</v>
      </c>
      <c r="E420" s="3" t="s">
        <v>25</v>
      </c>
      <c r="F420" s="3" t="s">
        <v>25</v>
      </c>
      <c r="G420" s="3" t="s">
        <v>25</v>
      </c>
      <c r="H420" s="3" t="s">
        <v>37</v>
      </c>
      <c r="I420" s="6">
        <v>44652</v>
      </c>
      <c r="J420" s="4">
        <v>0</v>
      </c>
      <c r="K420" s="4">
        <v>0</v>
      </c>
      <c r="L420" s="4">
        <v>6.6000000000000003E-2</v>
      </c>
      <c r="M420" s="4">
        <v>6.6000000000000003E-2</v>
      </c>
      <c r="N420" s="4">
        <v>6.6000000000000003E-2</v>
      </c>
      <c r="O420" s="4">
        <v>6.6000000000000003E-2</v>
      </c>
      <c r="P420" s="4">
        <v>0</v>
      </c>
      <c r="Q420" s="3" t="s">
        <v>26</v>
      </c>
      <c r="R420" s="3">
        <v>0</v>
      </c>
      <c r="S420" s="4">
        <v>0</v>
      </c>
      <c r="T420" s="4">
        <v>81</v>
      </c>
      <c r="U420" s="4">
        <v>25</v>
      </c>
      <c r="V420" s="4">
        <f>IF(ISERROR(VLOOKUP($S$420,'TAR FIN'!$A$1:$O$88,15,0)),0,VLOOKUP($S$420,'TAR FIN'!$A$1:$O$88,15,0))</f>
        <v>0</v>
      </c>
      <c r="W420" s="4">
        <f>IF(ISERROR(VLOOKUP($T$420,'TAR FIN'!$A$1:$O$88,15,0)),0,VLOOKUP($T$420,'TAR FIN'!$A$1:$O$88,15,0))</f>
        <v>1538.51</v>
      </c>
      <c r="X420" s="4">
        <f>IF(ISERROR(VLOOKUP($U$420,'TAR FIN'!$A$1:$O$88,15,0)),0,VLOOKUP($U$420,'TAR FIN'!$A$1:$O$88,15,0))</f>
        <v>150.26</v>
      </c>
      <c r="Y420" s="4"/>
      <c r="Z420" s="4">
        <f ca="1">('TUSD BE'!$AM$45+'TUSD BF'!$AM$45+'TUSD CVA'!$AM$45)*1</f>
        <v>1728.6668392940069</v>
      </c>
      <c r="AA420" s="4">
        <f>('TE BE'!$AB$35+'TE BF'!$AB$35+'TE CVA'!$AB$35)*1</f>
        <v>136.62265710865657</v>
      </c>
      <c r="AB420" s="4">
        <f>$K$420*$V$420</f>
        <v>0</v>
      </c>
      <c r="AC420" s="4">
        <f>$M$420*$W$420</f>
        <v>101.54166000000001</v>
      </c>
      <c r="AD420" s="4">
        <f>$O$420*$X$420</f>
        <v>9.9171599999999991</v>
      </c>
      <c r="AE420" s="4">
        <f>$K$420*$Y$420</f>
        <v>0</v>
      </c>
      <c r="AF420" s="4">
        <f ca="1">$M$420*$Z$420</f>
        <v>114.09201139340446</v>
      </c>
      <c r="AG420" s="4">
        <f>$O$420*$AA$420</f>
        <v>9.0170953691713347</v>
      </c>
    </row>
    <row r="421" spans="1:33" ht="11.25" customHeight="1" x14ac:dyDescent="0.25">
      <c r="A421" s="3" t="s">
        <v>21</v>
      </c>
      <c r="B421" s="3" t="s">
        <v>33</v>
      </c>
      <c r="C421" s="3" t="s">
        <v>41</v>
      </c>
      <c r="D421" s="3" t="s">
        <v>40</v>
      </c>
      <c r="E421" s="3" t="s">
        <v>25</v>
      </c>
      <c r="F421" s="3" t="s">
        <v>25</v>
      </c>
      <c r="G421" s="3" t="s">
        <v>25</v>
      </c>
      <c r="H421" s="3" t="s">
        <v>37</v>
      </c>
      <c r="I421" s="6">
        <v>44682</v>
      </c>
      <c r="J421" s="4">
        <v>0</v>
      </c>
      <c r="K421" s="4">
        <v>0</v>
      </c>
      <c r="L421" s="4">
        <v>8.5000000000000006E-2</v>
      </c>
      <c r="M421" s="4">
        <v>8.5000000000000006E-2</v>
      </c>
      <c r="N421" s="4">
        <v>8.5000000000000006E-2</v>
      </c>
      <c r="O421" s="4">
        <v>8.5000000000000006E-2</v>
      </c>
      <c r="P421" s="4">
        <v>0</v>
      </c>
      <c r="Q421" s="3" t="s">
        <v>26</v>
      </c>
      <c r="R421" s="3">
        <v>0</v>
      </c>
      <c r="S421" s="4">
        <v>0</v>
      </c>
      <c r="T421" s="4">
        <v>81</v>
      </c>
      <c r="U421" s="4">
        <v>25</v>
      </c>
      <c r="V421" s="4">
        <f>IF(ISERROR(VLOOKUP($S$421,'TAR FIN'!$A$1:$O$88,15,0)),0,VLOOKUP($S$421,'TAR FIN'!$A$1:$O$88,15,0))</f>
        <v>0</v>
      </c>
      <c r="W421" s="4">
        <f>IF(ISERROR(VLOOKUP($T$421,'TAR FIN'!$A$1:$O$88,15,0)),0,VLOOKUP($T$421,'TAR FIN'!$A$1:$O$88,15,0))</f>
        <v>1538.51</v>
      </c>
      <c r="X421" s="4">
        <f>IF(ISERROR(VLOOKUP($U$421,'TAR FIN'!$A$1:$O$88,15,0)),0,VLOOKUP($U$421,'TAR FIN'!$A$1:$O$88,15,0))</f>
        <v>150.26</v>
      </c>
      <c r="Y421" s="4"/>
      <c r="Z421" s="4">
        <f ca="1">('TUSD BE'!$AM$45+'TUSD BF'!$AM$45+'TUSD CVA'!$AM$45)*1</f>
        <v>1728.6668392940069</v>
      </c>
      <c r="AA421" s="4">
        <f>('TE BE'!$AB$35+'TE BF'!$AB$35+'TE CVA'!$AB$35)*1</f>
        <v>136.62265710865657</v>
      </c>
      <c r="AB421" s="4">
        <f>$K$421*$V$421</f>
        <v>0</v>
      </c>
      <c r="AC421" s="4">
        <f>$M$421*$W$421</f>
        <v>130.77335000000002</v>
      </c>
      <c r="AD421" s="4">
        <f>$O$421*$X$421</f>
        <v>12.7721</v>
      </c>
      <c r="AE421" s="4">
        <f>$K$421*$Y$421</f>
        <v>0</v>
      </c>
      <c r="AF421" s="4">
        <f ca="1">$M$421*$Z$421</f>
        <v>146.9366813399906</v>
      </c>
      <c r="AG421" s="4">
        <f>$O$421*$AA$421</f>
        <v>11.61292585423581</v>
      </c>
    </row>
    <row r="422" spans="1:33" ht="11.25" customHeight="1" x14ac:dyDescent="0.25">
      <c r="A422" s="3" t="s">
        <v>21</v>
      </c>
      <c r="B422" s="3" t="s">
        <v>33</v>
      </c>
      <c r="C422" s="3" t="s">
        <v>41</v>
      </c>
      <c r="D422" s="3" t="s">
        <v>40</v>
      </c>
      <c r="E422" s="3" t="s">
        <v>25</v>
      </c>
      <c r="F422" s="3" t="s">
        <v>25</v>
      </c>
      <c r="G422" s="3" t="s">
        <v>25</v>
      </c>
      <c r="H422" s="3" t="s">
        <v>37</v>
      </c>
      <c r="I422" s="6">
        <v>44713</v>
      </c>
      <c r="J422" s="4">
        <v>0</v>
      </c>
      <c r="K422" s="4">
        <v>0</v>
      </c>
      <c r="L422" s="4">
        <v>9.5000000000000001E-2</v>
      </c>
      <c r="M422" s="4">
        <v>9.5000000000000001E-2</v>
      </c>
      <c r="N422" s="4">
        <v>9.5000000000000001E-2</v>
      </c>
      <c r="O422" s="4">
        <v>9.5000000000000001E-2</v>
      </c>
      <c r="P422" s="4">
        <v>0</v>
      </c>
      <c r="Q422" s="3" t="s">
        <v>26</v>
      </c>
      <c r="R422" s="3">
        <v>0</v>
      </c>
      <c r="S422" s="4">
        <v>0</v>
      </c>
      <c r="T422" s="4">
        <v>81</v>
      </c>
      <c r="U422" s="4">
        <v>25</v>
      </c>
      <c r="V422" s="4">
        <f>IF(ISERROR(VLOOKUP($S$422,'TAR FIN'!$A$1:$O$88,15,0)),0,VLOOKUP($S$422,'TAR FIN'!$A$1:$O$88,15,0))</f>
        <v>0</v>
      </c>
      <c r="W422" s="4">
        <f>IF(ISERROR(VLOOKUP($T$422,'TAR FIN'!$A$1:$O$88,15,0)),0,VLOOKUP($T$422,'TAR FIN'!$A$1:$O$88,15,0))</f>
        <v>1538.51</v>
      </c>
      <c r="X422" s="4">
        <f>IF(ISERROR(VLOOKUP($U$422,'TAR FIN'!$A$1:$O$88,15,0)),0,VLOOKUP($U$422,'TAR FIN'!$A$1:$O$88,15,0))</f>
        <v>150.26</v>
      </c>
      <c r="Y422" s="4"/>
      <c r="Z422" s="4">
        <f ca="1">('TUSD BE'!$AM$45+'TUSD BF'!$AM$45+'TUSD CVA'!$AM$45)*1</f>
        <v>1728.6668392940069</v>
      </c>
      <c r="AA422" s="4">
        <f>('TE BE'!$AB$35+'TE BF'!$AB$35+'TE CVA'!$AB$35)*1</f>
        <v>136.62265710865657</v>
      </c>
      <c r="AB422" s="4">
        <f>$K$422*$V$422</f>
        <v>0</v>
      </c>
      <c r="AC422" s="4">
        <f>$M$422*$W$422</f>
        <v>146.15844999999999</v>
      </c>
      <c r="AD422" s="4">
        <f>$O$422*$X$422</f>
        <v>14.274699999999999</v>
      </c>
      <c r="AE422" s="4">
        <f>$K$422*$Y$422</f>
        <v>0</v>
      </c>
      <c r="AF422" s="4">
        <f ca="1">$M$422*$Z$422</f>
        <v>164.22334973293064</v>
      </c>
      <c r="AG422" s="4">
        <f>$O$422*$AA$422</f>
        <v>12.979152425322374</v>
      </c>
    </row>
    <row r="423" spans="1:33" ht="11.25" customHeight="1" x14ac:dyDescent="0.25">
      <c r="A423" s="3" t="s">
        <v>21</v>
      </c>
      <c r="B423" s="3" t="s">
        <v>33</v>
      </c>
      <c r="C423" s="3" t="s">
        <v>41</v>
      </c>
      <c r="D423" s="3" t="s">
        <v>40</v>
      </c>
      <c r="E423" s="3" t="s">
        <v>25</v>
      </c>
      <c r="F423" s="3" t="s">
        <v>25</v>
      </c>
      <c r="G423" s="3" t="s">
        <v>25</v>
      </c>
      <c r="H423" s="3" t="s">
        <v>37</v>
      </c>
      <c r="I423" s="6">
        <v>44743</v>
      </c>
      <c r="J423" s="4">
        <v>0</v>
      </c>
      <c r="K423" s="4">
        <v>0</v>
      </c>
      <c r="L423" s="4">
        <v>7.6999999999999999E-2</v>
      </c>
      <c r="M423" s="4">
        <v>7.6999999999999999E-2</v>
      </c>
      <c r="N423" s="4">
        <v>7.6999999999999999E-2</v>
      </c>
      <c r="O423" s="4">
        <v>7.6999999999999999E-2</v>
      </c>
      <c r="P423" s="4">
        <v>0</v>
      </c>
      <c r="Q423" s="3" t="s">
        <v>26</v>
      </c>
      <c r="R423" s="3">
        <v>0</v>
      </c>
      <c r="S423" s="4">
        <v>0</v>
      </c>
      <c r="T423" s="4">
        <v>81</v>
      </c>
      <c r="U423" s="4">
        <v>25</v>
      </c>
      <c r="V423" s="4">
        <f>IF(ISERROR(VLOOKUP($S$423,'TAR FIN'!$A$1:$O$88,15,0)),0,VLOOKUP($S$423,'TAR FIN'!$A$1:$O$88,15,0))</f>
        <v>0</v>
      </c>
      <c r="W423" s="4">
        <f>IF(ISERROR(VLOOKUP($T$423,'TAR FIN'!$A$1:$O$88,15,0)),0,VLOOKUP($T$423,'TAR FIN'!$A$1:$O$88,15,0))</f>
        <v>1538.51</v>
      </c>
      <c r="X423" s="4">
        <f>IF(ISERROR(VLOOKUP($U$423,'TAR FIN'!$A$1:$O$88,15,0)),0,VLOOKUP($U$423,'TAR FIN'!$A$1:$O$88,15,0))</f>
        <v>150.26</v>
      </c>
      <c r="Y423" s="4"/>
      <c r="Z423" s="4">
        <f ca="1">('TUSD BE'!$AM$45+'TUSD BF'!$AM$45+'TUSD CVA'!$AM$45)*1</f>
        <v>1728.6668392940069</v>
      </c>
      <c r="AA423" s="4">
        <f>('TE BE'!$AB$35+'TE BF'!$AB$35+'TE CVA'!$AB$35)*1</f>
        <v>136.62265710865657</v>
      </c>
      <c r="AB423" s="4">
        <f>$K$423*$V$423</f>
        <v>0</v>
      </c>
      <c r="AC423" s="4">
        <f>$M$423*$W$423</f>
        <v>118.46527</v>
      </c>
      <c r="AD423" s="4">
        <f>$O$423*$X$423</f>
        <v>11.57002</v>
      </c>
      <c r="AE423" s="4">
        <f>$K$423*$Y$423</f>
        <v>0</v>
      </c>
      <c r="AF423" s="4">
        <f ca="1">$M$423*$Z$423</f>
        <v>133.10734662563854</v>
      </c>
      <c r="AG423" s="4">
        <f>$O$423*$AA$423</f>
        <v>10.519944597366555</v>
      </c>
    </row>
    <row r="424" spans="1:33" ht="11.25" customHeight="1" x14ac:dyDescent="0.25">
      <c r="A424" s="3" t="s">
        <v>55</v>
      </c>
      <c r="B424" s="3" t="s">
        <v>33</v>
      </c>
      <c r="C424" s="3" t="s">
        <v>41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37</v>
      </c>
      <c r="I424" s="6">
        <v>44774</v>
      </c>
      <c r="J424" s="4">
        <v>0</v>
      </c>
      <c r="K424" s="4">
        <v>0</v>
      </c>
      <c r="L424" s="4">
        <v>7.6999999999999999E-2</v>
      </c>
      <c r="M424" s="4">
        <v>7.6999999999999999E-2</v>
      </c>
      <c r="N424" s="4">
        <v>7.6999999999999999E-2</v>
      </c>
      <c r="O424" s="4">
        <v>7.6999999999999999E-2</v>
      </c>
      <c r="P424" s="4">
        <v>0</v>
      </c>
      <c r="Q424" s="3" t="s">
        <v>26</v>
      </c>
      <c r="R424" s="3">
        <v>0</v>
      </c>
      <c r="S424" s="4">
        <v>0</v>
      </c>
      <c r="T424" s="4">
        <v>81</v>
      </c>
      <c r="U424" s="4">
        <v>25</v>
      </c>
      <c r="V424" s="4">
        <f>IF(ISERROR(VLOOKUP($S$424,'TAR FIN'!$A$1:$O$88,15,0)),0,VLOOKUP($S$424,'TAR FIN'!$A$1:$O$88,15,0))</f>
        <v>0</v>
      </c>
      <c r="W424" s="4">
        <f>IF(ISERROR(VLOOKUP($T$424,'TAR FIN'!$A$1:$O$88,15,0)),0,VLOOKUP($T$424,'TAR FIN'!$A$1:$O$88,15,0))</f>
        <v>1538.51</v>
      </c>
      <c r="X424" s="4">
        <f>IF(ISERROR(VLOOKUP($U$424,'TAR FIN'!$A$1:$O$88,15,0)),0,VLOOKUP($U$424,'TAR FIN'!$A$1:$O$88,15,0))</f>
        <v>150.26</v>
      </c>
      <c r="Y424" s="4"/>
      <c r="Z424" s="4">
        <f ca="1">('TUSD BE'!$AM$45+'TUSD BF'!$AM$45+'TUSD CVA'!$AM$45)*1</f>
        <v>1728.6668392940069</v>
      </c>
      <c r="AA424" s="4">
        <f>('TE BE'!$AB$35+'TE BF'!$AB$35+'TE CVA'!$AB$35)*1</f>
        <v>136.62265710865657</v>
      </c>
      <c r="AB424" s="4">
        <f>$K$424*$V$424</f>
        <v>0</v>
      </c>
      <c r="AC424" s="4">
        <f>$M$424*$W$424</f>
        <v>118.46527</v>
      </c>
      <c r="AD424" s="4">
        <f>$O$424*$X$424</f>
        <v>11.57002</v>
      </c>
      <c r="AE424" s="4">
        <f>$K$424*$Y$424</f>
        <v>0</v>
      </c>
      <c r="AF424" s="4">
        <f ca="1">$M$424*$Z$424</f>
        <v>133.10734662563854</v>
      </c>
      <c r="AG424" s="4">
        <f>$O$424*$AA$424</f>
        <v>10.519944597366555</v>
      </c>
    </row>
    <row r="425" spans="1:33" ht="11.25" customHeight="1" x14ac:dyDescent="0.25">
      <c r="A425" s="3" t="s">
        <v>21</v>
      </c>
      <c r="B425" s="3" t="s">
        <v>33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660.53899999999999</v>
      </c>
      <c r="M425" s="4">
        <v>660.53899999999999</v>
      </c>
      <c r="N425" s="4">
        <v>660.53899999999999</v>
      </c>
      <c r="O425" s="4">
        <v>660.53899999999999</v>
      </c>
      <c r="P425" s="4">
        <v>1195</v>
      </c>
      <c r="Q425" s="3" t="s">
        <v>26</v>
      </c>
      <c r="R425" s="3">
        <v>0</v>
      </c>
      <c r="S425" s="4">
        <v>0</v>
      </c>
      <c r="T425" s="4">
        <v>66</v>
      </c>
      <c r="U425" s="4">
        <v>10</v>
      </c>
      <c r="V425" s="4">
        <f>IF(ISERROR(VLOOKUP($S$425,'TAR FIN'!$A$1:$O$88,15,0)),0,VLOOKUP($S$425,'TAR FIN'!$A$1:$O$88,15,0))</f>
        <v>0</v>
      </c>
      <c r="W425" s="4">
        <f>IF(ISERROR(VLOOKUP($T$425,'TAR FIN'!$A$1:$O$88,15,0)),0,VLOOKUP($T$425,'TAR FIN'!$A$1:$O$88,15,0))</f>
        <v>501.48</v>
      </c>
      <c r="X425" s="4">
        <f>IF(ISERROR(VLOOKUP($U$425,'TAR FIN'!$A$1:$O$88,15,0)),0,VLOOKUP($U$425,'TAR FIN'!$A$1:$O$88,15,0))</f>
        <v>150.26</v>
      </c>
      <c r="Y425" s="4"/>
      <c r="Z425" s="4">
        <f ca="1">('TUSD BE'!$AM$48+'TUSD BF'!$AM$48+'TUSD CVA'!$AM$48)*1</f>
        <v>590.21277757372172</v>
      </c>
      <c r="AA425" s="4">
        <f>('TE BE'!$AB$38+'TE BF'!$AB$38+'TE CVA'!$AB$38)*1</f>
        <v>136.62265710865657</v>
      </c>
      <c r="AB425" s="4">
        <f>$K$425*$V$425</f>
        <v>0</v>
      </c>
      <c r="AC425" s="4">
        <f>$M$425*$W$425</f>
        <v>331247.09772000002</v>
      </c>
      <c r="AD425" s="4">
        <f>$O$425*$X$425</f>
        <v>99252.590139999986</v>
      </c>
      <c r="AE425" s="4">
        <f>$K$425*$Y$425</f>
        <v>0</v>
      </c>
      <c r="AF425" s="4">
        <f ca="1">$M$425*$Z$425</f>
        <v>389858.55788576859</v>
      </c>
      <c r="AG425" s="4">
        <f>$O$425*$AA$425</f>
        <v>90244.593303894901</v>
      </c>
    </row>
    <row r="426" spans="1:33" ht="11.25" customHeight="1" x14ac:dyDescent="0.25">
      <c r="A426" s="3" t="s">
        <v>27</v>
      </c>
      <c r="B426" s="3" t="s">
        <v>33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44440</v>
      </c>
      <c r="J426" s="4">
        <v>0</v>
      </c>
      <c r="K426" s="4">
        <v>0</v>
      </c>
      <c r="L426" s="4">
        <v>-0.156</v>
      </c>
      <c r="M426" s="4">
        <v>-0.156</v>
      </c>
      <c r="N426" s="4">
        <v>-0.156</v>
      </c>
      <c r="O426" s="4">
        <v>-0.156</v>
      </c>
      <c r="P426" s="4">
        <v>0</v>
      </c>
      <c r="Q426" s="3" t="s">
        <v>26</v>
      </c>
      <c r="R426" s="3">
        <v>0</v>
      </c>
      <c r="S426" s="4">
        <v>0</v>
      </c>
      <c r="T426" s="4">
        <v>66</v>
      </c>
      <c r="U426" s="4">
        <v>10</v>
      </c>
      <c r="V426" s="4">
        <f>IF(ISERROR(VLOOKUP($S$426,'TAR FIN'!$A$1:$O$88,15,0)),0,VLOOKUP($S$426,'TAR FIN'!$A$1:$O$88,15,0))</f>
        <v>0</v>
      </c>
      <c r="W426" s="4">
        <f>IF(ISERROR(VLOOKUP($T$426,'TAR FIN'!$A$1:$O$88,15,0)),0,VLOOKUP($T$426,'TAR FIN'!$A$1:$O$88,15,0))</f>
        <v>501.48</v>
      </c>
      <c r="X426" s="4">
        <f>IF(ISERROR(VLOOKUP($U$426,'TAR FIN'!$A$1:$O$88,15,0)),0,VLOOKUP($U$426,'TAR FIN'!$A$1:$O$88,15,0))</f>
        <v>150.26</v>
      </c>
      <c r="Y426" s="4"/>
      <c r="Z426" s="4">
        <f ca="1">('TUSD BE'!$AM$48+'TUSD BF'!$AM$48+'TUSD CVA'!$AM$48)*1</f>
        <v>590.21277757372172</v>
      </c>
      <c r="AA426" s="4">
        <f>('TE BE'!$AB$38+'TE BF'!$AB$38+'TE CVA'!$AB$38)*1</f>
        <v>136.62265710865657</v>
      </c>
      <c r="AB426" s="4">
        <f>$K$426*$V$426</f>
        <v>0</v>
      </c>
      <c r="AC426" s="4">
        <f>$M$426*$W$426</f>
        <v>-78.230879999999999</v>
      </c>
      <c r="AD426" s="4">
        <f>$O$426*$X$426</f>
        <v>-23.440559999999998</v>
      </c>
      <c r="AE426" s="4">
        <f>$K$426*$Y$426</f>
        <v>0</v>
      </c>
      <c r="AF426" s="4">
        <f ca="1">$M$426*$Z$426</f>
        <v>-92.073193301500595</v>
      </c>
      <c r="AG426" s="4">
        <f>$O$426*$AA$426</f>
        <v>-21.313134508950423</v>
      </c>
    </row>
    <row r="427" spans="1:33" ht="11.25" customHeight="1" x14ac:dyDescent="0.25">
      <c r="A427" s="3" t="s">
        <v>28</v>
      </c>
      <c r="B427" s="3" t="s">
        <v>33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44440</v>
      </c>
      <c r="J427" s="4">
        <v>0</v>
      </c>
      <c r="K427" s="4">
        <v>0</v>
      </c>
      <c r="L427" s="4">
        <v>25.408000000000001</v>
      </c>
      <c r="M427" s="4">
        <v>25.408000000000001</v>
      </c>
      <c r="N427" s="4">
        <v>25.408000000000001</v>
      </c>
      <c r="O427" s="4">
        <v>25.408000000000001</v>
      </c>
      <c r="P427" s="4">
        <v>30</v>
      </c>
      <c r="Q427" s="3" t="s">
        <v>26</v>
      </c>
      <c r="R427" s="3">
        <v>0</v>
      </c>
      <c r="S427" s="4">
        <v>0</v>
      </c>
      <c r="T427" s="4">
        <v>66</v>
      </c>
      <c r="U427" s="4">
        <v>10</v>
      </c>
      <c r="V427" s="4">
        <f>IF(ISERROR(VLOOKUP($S$427,'TAR FIN'!$A$1:$O$88,15,0)),0,VLOOKUP($S$427,'TAR FIN'!$A$1:$O$88,15,0))</f>
        <v>0</v>
      </c>
      <c r="W427" s="4">
        <f>IF(ISERROR(VLOOKUP($T$427,'TAR FIN'!$A$1:$O$88,15,0)),0,VLOOKUP($T$427,'TAR FIN'!$A$1:$O$88,15,0))</f>
        <v>501.48</v>
      </c>
      <c r="X427" s="4">
        <f>IF(ISERROR(VLOOKUP($U$427,'TAR FIN'!$A$1:$O$88,15,0)),0,VLOOKUP($U$427,'TAR FIN'!$A$1:$O$88,15,0))</f>
        <v>150.26</v>
      </c>
      <c r="Y427" s="4"/>
      <c r="Z427" s="4">
        <f ca="1">('TUSD BE'!$AM$48+'TUSD BF'!$AM$48+'TUSD CVA'!$AM$48)*1</f>
        <v>590.21277757372172</v>
      </c>
      <c r="AA427" s="4">
        <f>('TE BE'!$AB$38+'TE BF'!$AB$38+'TE CVA'!$AB$38)*1</f>
        <v>136.62265710865657</v>
      </c>
      <c r="AB427" s="4">
        <f>$K$427*$V$427</f>
        <v>0</v>
      </c>
      <c r="AC427" s="4">
        <f>$M$427*$W$427</f>
        <v>12741.603840000002</v>
      </c>
      <c r="AD427" s="4">
        <f>$O$427*$X$427</f>
        <v>3817.8060799999998</v>
      </c>
      <c r="AE427" s="4">
        <f>$K$427*$Y$427</f>
        <v>0</v>
      </c>
      <c r="AF427" s="4">
        <f ca="1">$M$427*$Z$427</f>
        <v>14996.126252593122</v>
      </c>
      <c r="AG427" s="4">
        <f>$O$427*$AA$427</f>
        <v>3471.3084718167461</v>
      </c>
    </row>
    <row r="428" spans="1:33" ht="11.25" customHeight="1" x14ac:dyDescent="0.25">
      <c r="A428" s="3" t="s">
        <v>21</v>
      </c>
      <c r="B428" s="3" t="s">
        <v>33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44470</v>
      </c>
      <c r="J428" s="4">
        <v>0</v>
      </c>
      <c r="K428" s="4">
        <v>0</v>
      </c>
      <c r="L428" s="4">
        <v>662.68</v>
      </c>
      <c r="M428" s="4">
        <v>662.68</v>
      </c>
      <c r="N428" s="4">
        <v>662.68</v>
      </c>
      <c r="O428" s="4">
        <v>662.68</v>
      </c>
      <c r="P428" s="4">
        <v>1194</v>
      </c>
      <c r="Q428" s="3" t="s">
        <v>26</v>
      </c>
      <c r="R428" s="3">
        <v>0</v>
      </c>
      <c r="S428" s="4">
        <v>0</v>
      </c>
      <c r="T428" s="4">
        <v>66</v>
      </c>
      <c r="U428" s="4">
        <v>10</v>
      </c>
      <c r="V428" s="4">
        <f>IF(ISERROR(VLOOKUP($S$428,'TAR FIN'!$A$1:$O$88,15,0)),0,VLOOKUP($S$428,'TAR FIN'!$A$1:$O$88,15,0))</f>
        <v>0</v>
      </c>
      <c r="W428" s="4">
        <f>IF(ISERROR(VLOOKUP($T$428,'TAR FIN'!$A$1:$O$88,15,0)),0,VLOOKUP($T$428,'TAR FIN'!$A$1:$O$88,15,0))</f>
        <v>501.48</v>
      </c>
      <c r="X428" s="4">
        <f>IF(ISERROR(VLOOKUP($U$428,'TAR FIN'!$A$1:$O$88,15,0)),0,VLOOKUP($U$428,'TAR FIN'!$A$1:$O$88,15,0))</f>
        <v>150.26</v>
      </c>
      <c r="Y428" s="4"/>
      <c r="Z428" s="4">
        <f ca="1">('TUSD BE'!$AM$48+'TUSD BF'!$AM$48+'TUSD CVA'!$AM$48)*1</f>
        <v>590.21277757372172</v>
      </c>
      <c r="AA428" s="4">
        <f>('TE BE'!$AB$38+'TE BF'!$AB$38+'TE CVA'!$AB$38)*1</f>
        <v>136.62265710865657</v>
      </c>
      <c r="AB428" s="4">
        <f>$K$428*$V$428</f>
        <v>0</v>
      </c>
      <c r="AC428" s="4">
        <f>$M$428*$W$428</f>
        <v>332320.76639999996</v>
      </c>
      <c r="AD428" s="4">
        <f>$O$428*$X$428</f>
        <v>99574.296799999982</v>
      </c>
      <c r="AE428" s="4">
        <f>$K$428*$Y$428</f>
        <v>0</v>
      </c>
      <c r="AF428" s="4">
        <f ca="1">$M$428*$Z$428</f>
        <v>391122.20344255387</v>
      </c>
      <c r="AG428" s="4">
        <f>$O$428*$AA$428</f>
        <v>90537.102412764521</v>
      </c>
    </row>
    <row r="429" spans="1:33" ht="11.25" customHeight="1" x14ac:dyDescent="0.25">
      <c r="A429" s="3" t="s">
        <v>27</v>
      </c>
      <c r="B429" s="3" t="s">
        <v>33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44470</v>
      </c>
      <c r="J429" s="4">
        <v>0</v>
      </c>
      <c r="K429" s="4">
        <v>0</v>
      </c>
      <c r="L429" s="4">
        <v>-6.8659999999999997</v>
      </c>
      <c r="M429" s="4">
        <v>-6.8659999999999997</v>
      </c>
      <c r="N429" s="4">
        <v>-6.8659999999999997</v>
      </c>
      <c r="O429" s="4">
        <v>-6.8659999999999997</v>
      </c>
      <c r="P429" s="4">
        <v>0</v>
      </c>
      <c r="Q429" s="3" t="s">
        <v>26</v>
      </c>
      <c r="R429" s="3">
        <v>0</v>
      </c>
      <c r="S429" s="4">
        <v>0</v>
      </c>
      <c r="T429" s="4">
        <v>66</v>
      </c>
      <c r="U429" s="4">
        <v>10</v>
      </c>
      <c r="V429" s="4">
        <f>IF(ISERROR(VLOOKUP($S$429,'TAR FIN'!$A$1:$O$88,15,0)),0,VLOOKUP($S$429,'TAR FIN'!$A$1:$O$88,15,0))</f>
        <v>0</v>
      </c>
      <c r="W429" s="4">
        <f>IF(ISERROR(VLOOKUP($T$429,'TAR FIN'!$A$1:$O$88,15,0)),0,VLOOKUP($T$429,'TAR FIN'!$A$1:$O$88,15,0))</f>
        <v>501.48</v>
      </c>
      <c r="X429" s="4">
        <f>IF(ISERROR(VLOOKUP($U$429,'TAR FIN'!$A$1:$O$88,15,0)),0,VLOOKUP($U$429,'TAR FIN'!$A$1:$O$88,15,0))</f>
        <v>150.26</v>
      </c>
      <c r="Y429" s="4"/>
      <c r="Z429" s="4">
        <f ca="1">('TUSD BE'!$AM$48+'TUSD BF'!$AM$48+'TUSD CVA'!$AM$48)*1</f>
        <v>590.21277757372172</v>
      </c>
      <c r="AA429" s="4">
        <f>('TE BE'!$AB$38+'TE BF'!$AB$38+'TE CVA'!$AB$38)*1</f>
        <v>136.62265710865657</v>
      </c>
      <c r="AB429" s="4">
        <f>$K$429*$V$429</f>
        <v>0</v>
      </c>
      <c r="AC429" s="4">
        <f>$M$429*$W$429</f>
        <v>-3443.1616800000002</v>
      </c>
      <c r="AD429" s="4">
        <f>$O$429*$X$429</f>
        <v>-1031.68516</v>
      </c>
      <c r="AE429" s="4">
        <f>$K$429*$Y$429</f>
        <v>0</v>
      </c>
      <c r="AF429" s="4">
        <f ca="1">$M$429*$Z$429</f>
        <v>-4052.400930821173</v>
      </c>
      <c r="AG429" s="4">
        <f>$O$429*$AA$429</f>
        <v>-938.05116370803592</v>
      </c>
    </row>
    <row r="430" spans="1:33" ht="11.25" customHeight="1" x14ac:dyDescent="0.25">
      <c r="A430" s="3" t="s">
        <v>28</v>
      </c>
      <c r="B430" s="3" t="s">
        <v>33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44470</v>
      </c>
      <c r="J430" s="4">
        <v>0</v>
      </c>
      <c r="K430" s="4">
        <v>0</v>
      </c>
      <c r="L430" s="4">
        <v>21.484000000000002</v>
      </c>
      <c r="M430" s="4">
        <v>21.484000000000002</v>
      </c>
      <c r="N430" s="4">
        <v>21.484000000000002</v>
      </c>
      <c r="O430" s="4">
        <v>21.484000000000002</v>
      </c>
      <c r="P430" s="4">
        <v>31</v>
      </c>
      <c r="Q430" s="3" t="s">
        <v>26</v>
      </c>
      <c r="R430" s="3">
        <v>0</v>
      </c>
      <c r="S430" s="4">
        <v>0</v>
      </c>
      <c r="T430" s="4">
        <v>66</v>
      </c>
      <c r="U430" s="4">
        <v>10</v>
      </c>
      <c r="V430" s="4">
        <f>IF(ISERROR(VLOOKUP($S$430,'TAR FIN'!$A$1:$O$88,15,0)),0,VLOOKUP($S$430,'TAR FIN'!$A$1:$O$88,15,0))</f>
        <v>0</v>
      </c>
      <c r="W430" s="4">
        <f>IF(ISERROR(VLOOKUP($T$430,'TAR FIN'!$A$1:$O$88,15,0)),0,VLOOKUP($T$430,'TAR FIN'!$A$1:$O$88,15,0))</f>
        <v>501.48</v>
      </c>
      <c r="X430" s="4">
        <f>IF(ISERROR(VLOOKUP($U$430,'TAR FIN'!$A$1:$O$88,15,0)),0,VLOOKUP($U$430,'TAR FIN'!$A$1:$O$88,15,0))</f>
        <v>150.26</v>
      </c>
      <c r="Y430" s="4"/>
      <c r="Z430" s="4">
        <f ca="1">('TUSD BE'!$AM$48+'TUSD BF'!$AM$48+'TUSD CVA'!$AM$48)*1</f>
        <v>590.21277757372172</v>
      </c>
      <c r="AA430" s="4">
        <f>('TE BE'!$AB$38+'TE BF'!$AB$38+'TE CVA'!$AB$38)*1</f>
        <v>136.62265710865657</v>
      </c>
      <c r="AB430" s="4">
        <f>$K$430*$V$430</f>
        <v>0</v>
      </c>
      <c r="AC430" s="4">
        <f>$M$430*$W$430</f>
        <v>10773.796320000001</v>
      </c>
      <c r="AD430" s="4">
        <f>$O$430*$X$430</f>
        <v>3228.1858400000001</v>
      </c>
      <c r="AE430" s="4">
        <f>$K$430*$Y$430</f>
        <v>0</v>
      </c>
      <c r="AF430" s="4">
        <f ca="1">$M$430*$Z$430</f>
        <v>12680.131313393838</v>
      </c>
      <c r="AG430" s="4">
        <f>$O$430*$AA$430</f>
        <v>2935.2011653223781</v>
      </c>
    </row>
    <row r="431" spans="1:33" ht="11.25" customHeight="1" x14ac:dyDescent="0.25">
      <c r="A431" s="3" t="s">
        <v>21</v>
      </c>
      <c r="B431" s="3" t="s">
        <v>33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706.12400000000002</v>
      </c>
      <c r="M431" s="4">
        <v>706.12400000000002</v>
      </c>
      <c r="N431" s="4">
        <v>706.12400000000002</v>
      </c>
      <c r="O431" s="4">
        <v>706.12400000000002</v>
      </c>
      <c r="P431" s="4">
        <v>1190</v>
      </c>
      <c r="Q431" s="3" t="s">
        <v>26</v>
      </c>
      <c r="R431" s="3">
        <v>0</v>
      </c>
      <c r="S431" s="4">
        <v>0</v>
      </c>
      <c r="T431" s="4">
        <v>66</v>
      </c>
      <c r="U431" s="4">
        <v>10</v>
      </c>
      <c r="V431" s="4">
        <f>IF(ISERROR(VLOOKUP($S$431,'TAR FIN'!$A$1:$O$88,15,0)),0,VLOOKUP($S$431,'TAR FIN'!$A$1:$O$88,15,0))</f>
        <v>0</v>
      </c>
      <c r="W431" s="4">
        <f>IF(ISERROR(VLOOKUP($T$431,'TAR FIN'!$A$1:$O$88,15,0)),0,VLOOKUP($T$431,'TAR FIN'!$A$1:$O$88,15,0))</f>
        <v>501.48</v>
      </c>
      <c r="X431" s="4">
        <f>IF(ISERROR(VLOOKUP($U$431,'TAR FIN'!$A$1:$O$88,15,0)),0,VLOOKUP($U$431,'TAR FIN'!$A$1:$O$88,15,0))</f>
        <v>150.26</v>
      </c>
      <c r="Y431" s="4"/>
      <c r="Z431" s="4">
        <f ca="1">('TUSD BE'!$AM$48+'TUSD BF'!$AM$48+'TUSD CVA'!$AM$48)*1</f>
        <v>590.21277757372172</v>
      </c>
      <c r="AA431" s="4">
        <f>('TE BE'!$AB$38+'TE BF'!$AB$38+'TE CVA'!$AB$38)*1</f>
        <v>136.62265710865657</v>
      </c>
      <c r="AB431" s="4">
        <f>$K$431*$V$431</f>
        <v>0</v>
      </c>
      <c r="AC431" s="4">
        <f>$M$431*$W$431</f>
        <v>354107.06352000003</v>
      </c>
      <c r="AD431" s="4">
        <f>$O$431*$X$431</f>
        <v>106102.19224</v>
      </c>
      <c r="AE431" s="4">
        <f>$K$431*$Y$431</f>
        <v>0</v>
      </c>
      <c r="AF431" s="4">
        <f ca="1">$M$431*$Z$431</f>
        <v>416763.40735146671</v>
      </c>
      <c r="AG431" s="4">
        <f>$O$431*$AA$431</f>
        <v>96472.537128193013</v>
      </c>
    </row>
    <row r="432" spans="1:33" ht="11.25" customHeight="1" x14ac:dyDescent="0.25">
      <c r="A432" s="3" t="s">
        <v>27</v>
      </c>
      <c r="B432" s="3" t="s">
        <v>33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44501</v>
      </c>
      <c r="J432" s="4">
        <v>0</v>
      </c>
      <c r="K432" s="4">
        <v>0</v>
      </c>
      <c r="L432" s="4">
        <v>-9.33</v>
      </c>
      <c r="M432" s="4">
        <v>-9.33</v>
      </c>
      <c r="N432" s="4">
        <v>-9.33</v>
      </c>
      <c r="O432" s="4">
        <v>-9.33</v>
      </c>
      <c r="P432" s="4">
        <v>0</v>
      </c>
      <c r="Q432" s="3" t="s">
        <v>26</v>
      </c>
      <c r="R432" s="3">
        <v>0</v>
      </c>
      <c r="S432" s="4">
        <v>0</v>
      </c>
      <c r="T432" s="4">
        <v>66</v>
      </c>
      <c r="U432" s="4">
        <v>10</v>
      </c>
      <c r="V432" s="4">
        <f>IF(ISERROR(VLOOKUP($S$432,'TAR FIN'!$A$1:$O$88,15,0)),0,VLOOKUP($S$432,'TAR FIN'!$A$1:$O$88,15,0))</f>
        <v>0</v>
      </c>
      <c r="W432" s="4">
        <f>IF(ISERROR(VLOOKUP($T$432,'TAR FIN'!$A$1:$O$88,15,0)),0,VLOOKUP($T$432,'TAR FIN'!$A$1:$O$88,15,0))</f>
        <v>501.48</v>
      </c>
      <c r="X432" s="4">
        <f>IF(ISERROR(VLOOKUP($U$432,'TAR FIN'!$A$1:$O$88,15,0)),0,VLOOKUP($U$432,'TAR FIN'!$A$1:$O$88,15,0))</f>
        <v>150.26</v>
      </c>
      <c r="Y432" s="4"/>
      <c r="Z432" s="4">
        <f ca="1">('TUSD BE'!$AM$48+'TUSD BF'!$AM$48+'TUSD CVA'!$AM$48)*1</f>
        <v>590.21277757372172</v>
      </c>
      <c r="AA432" s="4">
        <f>('TE BE'!$AB$38+'TE BF'!$AB$38+'TE CVA'!$AB$38)*1</f>
        <v>136.62265710865657</v>
      </c>
      <c r="AB432" s="4">
        <f>$K$432*$V$432</f>
        <v>0</v>
      </c>
      <c r="AC432" s="4">
        <f>$M$432*$W$432</f>
        <v>-4678.8083999999999</v>
      </c>
      <c r="AD432" s="4">
        <f>$O$432*$X$432</f>
        <v>-1401.9258</v>
      </c>
      <c r="AE432" s="4">
        <f>$K$432*$Y$432</f>
        <v>0</v>
      </c>
      <c r="AF432" s="4">
        <f ca="1">$M$432*$Z$432</f>
        <v>-5506.6852147628233</v>
      </c>
      <c r="AG432" s="4">
        <f>$O$432*$AA$432</f>
        <v>-1274.6893908237657</v>
      </c>
    </row>
    <row r="433" spans="1:33" ht="11.25" customHeight="1" x14ac:dyDescent="0.25">
      <c r="A433" s="3" t="s">
        <v>28</v>
      </c>
      <c r="B433" s="3" t="s">
        <v>33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44501</v>
      </c>
      <c r="J433" s="4">
        <v>0</v>
      </c>
      <c r="K433" s="4">
        <v>0</v>
      </c>
      <c r="L433" s="4">
        <v>20.423999999999999</v>
      </c>
      <c r="M433" s="4">
        <v>20.423999999999999</v>
      </c>
      <c r="N433" s="4">
        <v>20.423999999999999</v>
      </c>
      <c r="O433" s="4">
        <v>20.423999999999999</v>
      </c>
      <c r="P433" s="4">
        <v>36</v>
      </c>
      <c r="Q433" s="3" t="s">
        <v>26</v>
      </c>
      <c r="R433" s="3">
        <v>0</v>
      </c>
      <c r="S433" s="4">
        <v>0</v>
      </c>
      <c r="T433" s="4">
        <v>66</v>
      </c>
      <c r="U433" s="4">
        <v>10</v>
      </c>
      <c r="V433" s="4">
        <f>IF(ISERROR(VLOOKUP($S$433,'TAR FIN'!$A$1:$O$88,15,0)),0,VLOOKUP($S$433,'TAR FIN'!$A$1:$O$88,15,0))</f>
        <v>0</v>
      </c>
      <c r="W433" s="4">
        <f>IF(ISERROR(VLOOKUP($T$433,'TAR FIN'!$A$1:$O$88,15,0)),0,VLOOKUP($T$433,'TAR FIN'!$A$1:$O$88,15,0))</f>
        <v>501.48</v>
      </c>
      <c r="X433" s="4">
        <f>IF(ISERROR(VLOOKUP($U$433,'TAR FIN'!$A$1:$O$88,15,0)),0,VLOOKUP($U$433,'TAR FIN'!$A$1:$O$88,15,0))</f>
        <v>150.26</v>
      </c>
      <c r="Y433" s="4"/>
      <c r="Z433" s="4">
        <f ca="1">('TUSD BE'!$AM$48+'TUSD BF'!$AM$48+'TUSD CVA'!$AM$48)*1</f>
        <v>590.21277757372172</v>
      </c>
      <c r="AA433" s="4">
        <f>('TE BE'!$AB$38+'TE BF'!$AB$38+'TE CVA'!$AB$38)*1</f>
        <v>136.62265710865657</v>
      </c>
      <c r="AB433" s="4">
        <f>$K$433*$V$433</f>
        <v>0</v>
      </c>
      <c r="AC433" s="4">
        <f>$M$433*$W$433</f>
        <v>10242.22752</v>
      </c>
      <c r="AD433" s="4">
        <f>$O$433*$X$433</f>
        <v>3068.9102399999997</v>
      </c>
      <c r="AE433" s="4">
        <f>$K$433*$Y$433</f>
        <v>0</v>
      </c>
      <c r="AF433" s="4">
        <f ca="1">$M$433*$Z$433</f>
        <v>12054.505769165693</v>
      </c>
      <c r="AG433" s="4">
        <f>$O$433*$AA$433</f>
        <v>2790.3811487872017</v>
      </c>
    </row>
    <row r="434" spans="1:33" ht="11.25" customHeight="1" x14ac:dyDescent="0.25">
      <c r="A434" s="3" t="s">
        <v>21</v>
      </c>
      <c r="B434" s="3" t="s">
        <v>33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44531</v>
      </c>
      <c r="J434" s="4">
        <v>0</v>
      </c>
      <c r="K434" s="4">
        <v>0</v>
      </c>
      <c r="L434" s="4">
        <v>792.92499999999995</v>
      </c>
      <c r="M434" s="4">
        <v>792.92499999999995</v>
      </c>
      <c r="N434" s="4">
        <v>792.92499999999995</v>
      </c>
      <c r="O434" s="4">
        <v>792.92499999999995</v>
      </c>
      <c r="P434" s="4">
        <v>1198</v>
      </c>
      <c r="Q434" s="3" t="s">
        <v>26</v>
      </c>
      <c r="R434" s="3">
        <v>0</v>
      </c>
      <c r="S434" s="4">
        <v>0</v>
      </c>
      <c r="T434" s="4">
        <v>66</v>
      </c>
      <c r="U434" s="4">
        <v>10</v>
      </c>
      <c r="V434" s="4">
        <f>IF(ISERROR(VLOOKUP($S$434,'TAR FIN'!$A$1:$O$88,15,0)),0,VLOOKUP($S$434,'TAR FIN'!$A$1:$O$88,15,0))</f>
        <v>0</v>
      </c>
      <c r="W434" s="4">
        <f>IF(ISERROR(VLOOKUP($T$434,'TAR FIN'!$A$1:$O$88,15,0)),0,VLOOKUP($T$434,'TAR FIN'!$A$1:$O$88,15,0))</f>
        <v>501.48</v>
      </c>
      <c r="X434" s="4">
        <f>IF(ISERROR(VLOOKUP($U$434,'TAR FIN'!$A$1:$O$88,15,0)),0,VLOOKUP($U$434,'TAR FIN'!$A$1:$O$88,15,0))</f>
        <v>150.26</v>
      </c>
      <c r="Y434" s="4"/>
      <c r="Z434" s="4">
        <f ca="1">('TUSD BE'!$AM$48+'TUSD BF'!$AM$48+'TUSD CVA'!$AM$48)*1</f>
        <v>590.21277757372172</v>
      </c>
      <c r="AA434" s="4">
        <f>('TE BE'!$AB$38+'TE BF'!$AB$38+'TE CVA'!$AB$38)*1</f>
        <v>136.62265710865657</v>
      </c>
      <c r="AB434" s="4">
        <f>$K$434*$V$434</f>
        <v>0</v>
      </c>
      <c r="AC434" s="4">
        <f>$M$434*$W$434</f>
        <v>397636.02899999998</v>
      </c>
      <c r="AD434" s="4">
        <f>$O$434*$X$434</f>
        <v>119144.91049999998</v>
      </c>
      <c r="AE434" s="4">
        <f>$K$434*$Y$434</f>
        <v>0</v>
      </c>
      <c r="AF434" s="4">
        <f ca="1">$M$434*$Z$434</f>
        <v>467994.46665764326</v>
      </c>
      <c r="AG434" s="4">
        <f>$O$434*$AA$434</f>
        <v>108331.52038788151</v>
      </c>
    </row>
    <row r="435" spans="1:33" ht="11.25" customHeight="1" x14ac:dyDescent="0.25">
      <c r="A435" s="3" t="s">
        <v>27</v>
      </c>
      <c r="B435" s="3" t="s">
        <v>33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44531</v>
      </c>
      <c r="J435" s="4">
        <v>0</v>
      </c>
      <c r="K435" s="4">
        <v>0</v>
      </c>
      <c r="L435" s="4">
        <v>-10.298</v>
      </c>
      <c r="M435" s="4">
        <v>-10.298</v>
      </c>
      <c r="N435" s="4">
        <v>-10.298</v>
      </c>
      <c r="O435" s="4">
        <v>-10.298</v>
      </c>
      <c r="P435" s="4">
        <v>0</v>
      </c>
      <c r="Q435" s="3" t="s">
        <v>26</v>
      </c>
      <c r="R435" s="3">
        <v>0</v>
      </c>
      <c r="S435" s="4">
        <v>0</v>
      </c>
      <c r="T435" s="4">
        <v>66</v>
      </c>
      <c r="U435" s="4">
        <v>10</v>
      </c>
      <c r="V435" s="4">
        <f>IF(ISERROR(VLOOKUP($S$435,'TAR FIN'!$A$1:$O$88,15,0)),0,VLOOKUP($S$435,'TAR FIN'!$A$1:$O$88,15,0))</f>
        <v>0</v>
      </c>
      <c r="W435" s="4">
        <f>IF(ISERROR(VLOOKUP($T$435,'TAR FIN'!$A$1:$O$88,15,0)),0,VLOOKUP($T$435,'TAR FIN'!$A$1:$O$88,15,0))</f>
        <v>501.48</v>
      </c>
      <c r="X435" s="4">
        <f>IF(ISERROR(VLOOKUP($U$435,'TAR FIN'!$A$1:$O$88,15,0)),0,VLOOKUP($U$435,'TAR FIN'!$A$1:$O$88,15,0))</f>
        <v>150.26</v>
      </c>
      <c r="Y435" s="4"/>
      <c r="Z435" s="4">
        <f ca="1">('TUSD BE'!$AM$48+'TUSD BF'!$AM$48+'TUSD CVA'!$AM$48)*1</f>
        <v>590.21277757372172</v>
      </c>
      <c r="AA435" s="4">
        <f>('TE BE'!$AB$38+'TE BF'!$AB$38+'TE CVA'!$AB$38)*1</f>
        <v>136.62265710865657</v>
      </c>
      <c r="AB435" s="4">
        <f>$K$435*$V$435</f>
        <v>0</v>
      </c>
      <c r="AC435" s="4">
        <f>$M$435*$W$435</f>
        <v>-5164.2410399999999</v>
      </c>
      <c r="AD435" s="4">
        <f>$O$435*$X$435</f>
        <v>-1547.3774799999999</v>
      </c>
      <c r="AE435" s="4">
        <f>$K$435*$Y$435</f>
        <v>0</v>
      </c>
      <c r="AF435" s="4">
        <f ca="1">$M$435*$Z$435</f>
        <v>-6078.0111834541867</v>
      </c>
      <c r="AG435" s="4">
        <f>$O$435*$AA$435</f>
        <v>-1406.9401229049454</v>
      </c>
    </row>
    <row r="436" spans="1:33" ht="11.25" customHeight="1" x14ac:dyDescent="0.25">
      <c r="A436" s="3" t="s">
        <v>28</v>
      </c>
      <c r="B436" s="3" t="s">
        <v>33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44531</v>
      </c>
      <c r="J436" s="4">
        <v>0</v>
      </c>
      <c r="K436" s="4">
        <v>0</v>
      </c>
      <c r="L436" s="4">
        <v>25.643999999999998</v>
      </c>
      <c r="M436" s="4">
        <v>25.643999999999998</v>
      </c>
      <c r="N436" s="4">
        <v>25.643999999999998</v>
      </c>
      <c r="O436" s="4">
        <v>25.643999999999998</v>
      </c>
      <c r="P436" s="4">
        <v>38</v>
      </c>
      <c r="Q436" s="3" t="s">
        <v>26</v>
      </c>
      <c r="R436" s="3">
        <v>0</v>
      </c>
      <c r="S436" s="4">
        <v>0</v>
      </c>
      <c r="T436" s="4">
        <v>66</v>
      </c>
      <c r="U436" s="4">
        <v>10</v>
      </c>
      <c r="V436" s="4">
        <f>IF(ISERROR(VLOOKUP($S$436,'TAR FIN'!$A$1:$O$88,15,0)),0,VLOOKUP($S$436,'TAR FIN'!$A$1:$O$88,15,0))</f>
        <v>0</v>
      </c>
      <c r="W436" s="4">
        <f>IF(ISERROR(VLOOKUP($T$436,'TAR FIN'!$A$1:$O$88,15,0)),0,VLOOKUP($T$436,'TAR FIN'!$A$1:$O$88,15,0))</f>
        <v>501.48</v>
      </c>
      <c r="X436" s="4">
        <f>IF(ISERROR(VLOOKUP($U$436,'TAR FIN'!$A$1:$O$88,15,0)),0,VLOOKUP($U$436,'TAR FIN'!$A$1:$O$88,15,0))</f>
        <v>150.26</v>
      </c>
      <c r="Y436" s="4"/>
      <c r="Z436" s="4">
        <f ca="1">('TUSD BE'!$AM$48+'TUSD BF'!$AM$48+'TUSD CVA'!$AM$48)*1</f>
        <v>590.21277757372172</v>
      </c>
      <c r="AA436" s="4">
        <f>('TE BE'!$AB$38+'TE BF'!$AB$38+'TE CVA'!$AB$38)*1</f>
        <v>136.62265710865657</v>
      </c>
      <c r="AB436" s="4">
        <f>$K$436*$V$436</f>
        <v>0</v>
      </c>
      <c r="AC436" s="4">
        <f>$M$436*$W$436</f>
        <v>12859.95312</v>
      </c>
      <c r="AD436" s="4">
        <f>$O$436*$X$436</f>
        <v>3853.2674399999996</v>
      </c>
      <c r="AE436" s="4">
        <f>$K$436*$Y$436</f>
        <v>0</v>
      </c>
      <c r="AF436" s="4">
        <f ca="1">$M$436*$Z$436</f>
        <v>15135.416468100519</v>
      </c>
      <c r="AG436" s="4">
        <f>$O$436*$AA$436</f>
        <v>3503.5514188943889</v>
      </c>
    </row>
    <row r="437" spans="1:33" ht="11.25" customHeight="1" x14ac:dyDescent="0.25">
      <c r="A437" s="3" t="s">
        <v>21</v>
      </c>
      <c r="B437" s="3" t="s">
        <v>33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44562</v>
      </c>
      <c r="J437" s="4">
        <v>0</v>
      </c>
      <c r="K437" s="4">
        <v>0</v>
      </c>
      <c r="L437" s="4">
        <v>847.41600000000005</v>
      </c>
      <c r="M437" s="4">
        <v>847.41600000000005</v>
      </c>
      <c r="N437" s="4">
        <v>847.41600000000005</v>
      </c>
      <c r="O437" s="4">
        <v>847.41600000000005</v>
      </c>
      <c r="P437" s="4">
        <v>1215</v>
      </c>
      <c r="Q437" s="3" t="s">
        <v>26</v>
      </c>
      <c r="R437" s="3">
        <v>0</v>
      </c>
      <c r="S437" s="4">
        <v>0</v>
      </c>
      <c r="T437" s="4">
        <v>66</v>
      </c>
      <c r="U437" s="4">
        <v>10</v>
      </c>
      <c r="V437" s="4">
        <f>IF(ISERROR(VLOOKUP($S$437,'TAR FIN'!$A$1:$O$88,15,0)),0,VLOOKUP($S$437,'TAR FIN'!$A$1:$O$88,15,0))</f>
        <v>0</v>
      </c>
      <c r="W437" s="4">
        <f>IF(ISERROR(VLOOKUP($T$437,'TAR FIN'!$A$1:$O$88,15,0)),0,VLOOKUP($T$437,'TAR FIN'!$A$1:$O$88,15,0))</f>
        <v>501.48</v>
      </c>
      <c r="X437" s="4">
        <f>IF(ISERROR(VLOOKUP($U$437,'TAR FIN'!$A$1:$O$88,15,0)),0,VLOOKUP($U$437,'TAR FIN'!$A$1:$O$88,15,0))</f>
        <v>150.26</v>
      </c>
      <c r="Y437" s="4"/>
      <c r="Z437" s="4">
        <f ca="1">('TUSD BE'!$AM$48+'TUSD BF'!$AM$48+'TUSD CVA'!$AM$48)*1</f>
        <v>590.21277757372172</v>
      </c>
      <c r="AA437" s="4">
        <f>('TE BE'!$AB$38+'TE BF'!$AB$38+'TE CVA'!$AB$38)*1</f>
        <v>136.62265710865657</v>
      </c>
      <c r="AB437" s="4">
        <f>$K$437*$V$437</f>
        <v>0</v>
      </c>
      <c r="AC437" s="4">
        <f>$M$437*$W$437</f>
        <v>424962.17568000004</v>
      </c>
      <c r="AD437" s="4">
        <f>$O$437*$X$437</f>
        <v>127332.72816</v>
      </c>
      <c r="AE437" s="4">
        <f>$K$437*$Y$437</f>
        <v>0</v>
      </c>
      <c r="AF437" s="4">
        <f ca="1">$M$437*$Z$437</f>
        <v>500155.75112041301</v>
      </c>
      <c r="AG437" s="4">
        <f>$O$437*$AA$437</f>
        <v>115776.22559638933</v>
      </c>
    </row>
    <row r="438" spans="1:33" ht="11.25" customHeight="1" x14ac:dyDescent="0.25">
      <c r="A438" s="3" t="s">
        <v>27</v>
      </c>
      <c r="B438" s="3" t="s">
        <v>33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44562</v>
      </c>
      <c r="J438" s="4">
        <v>0</v>
      </c>
      <c r="K438" s="4">
        <v>0</v>
      </c>
      <c r="L438" s="4">
        <v>-0.60499999999999998</v>
      </c>
      <c r="M438" s="4">
        <v>-0.60499999999999998</v>
      </c>
      <c r="N438" s="4">
        <v>-0.60499999999999998</v>
      </c>
      <c r="O438" s="4">
        <v>-0.60499999999999998</v>
      </c>
      <c r="P438" s="4">
        <v>0</v>
      </c>
      <c r="Q438" s="3" t="s">
        <v>26</v>
      </c>
      <c r="R438" s="3">
        <v>0</v>
      </c>
      <c r="S438" s="4">
        <v>0</v>
      </c>
      <c r="T438" s="4">
        <v>66</v>
      </c>
      <c r="U438" s="4">
        <v>10</v>
      </c>
      <c r="V438" s="4">
        <f>IF(ISERROR(VLOOKUP($S$438,'TAR FIN'!$A$1:$O$88,15,0)),0,VLOOKUP($S$438,'TAR FIN'!$A$1:$O$88,15,0))</f>
        <v>0</v>
      </c>
      <c r="W438" s="4">
        <f>IF(ISERROR(VLOOKUP($T$438,'TAR FIN'!$A$1:$O$88,15,0)),0,VLOOKUP($T$438,'TAR FIN'!$A$1:$O$88,15,0))</f>
        <v>501.48</v>
      </c>
      <c r="X438" s="4">
        <f>IF(ISERROR(VLOOKUP($U$438,'TAR FIN'!$A$1:$O$88,15,0)),0,VLOOKUP($U$438,'TAR FIN'!$A$1:$O$88,15,0))</f>
        <v>150.26</v>
      </c>
      <c r="Y438" s="4"/>
      <c r="Z438" s="4">
        <f ca="1">('TUSD BE'!$AM$48+'TUSD BF'!$AM$48+'TUSD CVA'!$AM$48)*1</f>
        <v>590.21277757372172</v>
      </c>
      <c r="AA438" s="4">
        <f>('TE BE'!$AB$38+'TE BF'!$AB$38+'TE CVA'!$AB$38)*1</f>
        <v>136.62265710865657</v>
      </c>
      <c r="AB438" s="4">
        <f>$K$438*$V$438</f>
        <v>0</v>
      </c>
      <c r="AC438" s="4">
        <f>$M$438*$W$438</f>
        <v>-303.3954</v>
      </c>
      <c r="AD438" s="4">
        <f>$O$438*$X$438</f>
        <v>-90.907299999999992</v>
      </c>
      <c r="AE438" s="4">
        <f>$K$438*$Y$438</f>
        <v>0</v>
      </c>
      <c r="AF438" s="4">
        <f ca="1">$M$438*$Z$438</f>
        <v>-357.07873043210162</v>
      </c>
      <c r="AG438" s="4">
        <f>$O$438*$AA$438</f>
        <v>-82.656707550737224</v>
      </c>
    </row>
    <row r="439" spans="1:33" ht="11.25" customHeight="1" x14ac:dyDescent="0.25">
      <c r="A439" s="3" t="s">
        <v>28</v>
      </c>
      <c r="B439" s="3" t="s">
        <v>33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44562</v>
      </c>
      <c r="J439" s="4">
        <v>0</v>
      </c>
      <c r="K439" s="4">
        <v>0</v>
      </c>
      <c r="L439" s="4">
        <v>24.210999999999999</v>
      </c>
      <c r="M439" s="4">
        <v>24.210999999999999</v>
      </c>
      <c r="N439" s="4">
        <v>24.210999999999999</v>
      </c>
      <c r="O439" s="4">
        <v>24.210999999999999</v>
      </c>
      <c r="P439" s="4">
        <v>41</v>
      </c>
      <c r="Q439" s="3" t="s">
        <v>26</v>
      </c>
      <c r="R439" s="3">
        <v>0</v>
      </c>
      <c r="S439" s="4">
        <v>0</v>
      </c>
      <c r="T439" s="4">
        <v>66</v>
      </c>
      <c r="U439" s="4">
        <v>10</v>
      </c>
      <c r="V439" s="4">
        <f>IF(ISERROR(VLOOKUP($S$439,'TAR FIN'!$A$1:$O$88,15,0)),0,VLOOKUP($S$439,'TAR FIN'!$A$1:$O$88,15,0))</f>
        <v>0</v>
      </c>
      <c r="W439" s="4">
        <f>IF(ISERROR(VLOOKUP($T$439,'TAR FIN'!$A$1:$O$88,15,0)),0,VLOOKUP($T$439,'TAR FIN'!$A$1:$O$88,15,0))</f>
        <v>501.48</v>
      </c>
      <c r="X439" s="4">
        <f>IF(ISERROR(VLOOKUP($U$439,'TAR FIN'!$A$1:$O$88,15,0)),0,VLOOKUP($U$439,'TAR FIN'!$A$1:$O$88,15,0))</f>
        <v>150.26</v>
      </c>
      <c r="Y439" s="4"/>
      <c r="Z439" s="4">
        <f ca="1">('TUSD BE'!$AM$48+'TUSD BF'!$AM$48+'TUSD CVA'!$AM$48)*1</f>
        <v>590.21277757372172</v>
      </c>
      <c r="AA439" s="4">
        <f>('TE BE'!$AB$38+'TE BF'!$AB$38+'TE CVA'!$AB$38)*1</f>
        <v>136.62265710865657</v>
      </c>
      <c r="AB439" s="4">
        <f>$K$439*$V$439</f>
        <v>0</v>
      </c>
      <c r="AC439" s="4">
        <f>$M$439*$W$439</f>
        <v>12141.332280000001</v>
      </c>
      <c r="AD439" s="4">
        <f>$O$439*$X$439</f>
        <v>3637.9448599999996</v>
      </c>
      <c r="AE439" s="4">
        <f>$K$439*$Y$439</f>
        <v>0</v>
      </c>
      <c r="AF439" s="4">
        <f ca="1">$M$439*$Z$439</f>
        <v>14289.641557837376</v>
      </c>
      <c r="AG439" s="4">
        <f>$O$439*$AA$439</f>
        <v>3307.7711512576839</v>
      </c>
    </row>
    <row r="440" spans="1:33" ht="11.25" customHeight="1" x14ac:dyDescent="0.25">
      <c r="A440" s="3" t="s">
        <v>21</v>
      </c>
      <c r="B440" s="3" t="s">
        <v>33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44593</v>
      </c>
      <c r="J440" s="4">
        <v>0</v>
      </c>
      <c r="K440" s="4">
        <v>0</v>
      </c>
      <c r="L440" s="4">
        <v>885.84</v>
      </c>
      <c r="M440" s="4">
        <v>885.84</v>
      </c>
      <c r="N440" s="4">
        <v>885.84</v>
      </c>
      <c r="O440" s="4">
        <v>885.84</v>
      </c>
      <c r="P440" s="4">
        <v>1213</v>
      </c>
      <c r="Q440" s="3" t="s">
        <v>26</v>
      </c>
      <c r="R440" s="3">
        <v>0</v>
      </c>
      <c r="S440" s="4">
        <v>0</v>
      </c>
      <c r="T440" s="4">
        <v>66</v>
      </c>
      <c r="U440" s="4">
        <v>10</v>
      </c>
      <c r="V440" s="4">
        <f>IF(ISERROR(VLOOKUP($S$440,'TAR FIN'!$A$1:$O$88,15,0)),0,VLOOKUP($S$440,'TAR FIN'!$A$1:$O$88,15,0))</f>
        <v>0</v>
      </c>
      <c r="W440" s="4">
        <f>IF(ISERROR(VLOOKUP($T$440,'TAR FIN'!$A$1:$O$88,15,0)),0,VLOOKUP($T$440,'TAR FIN'!$A$1:$O$88,15,0))</f>
        <v>501.48</v>
      </c>
      <c r="X440" s="4">
        <f>IF(ISERROR(VLOOKUP($U$440,'TAR FIN'!$A$1:$O$88,15,0)),0,VLOOKUP($U$440,'TAR FIN'!$A$1:$O$88,15,0))</f>
        <v>150.26</v>
      </c>
      <c r="Y440" s="4"/>
      <c r="Z440" s="4">
        <f ca="1">('TUSD BE'!$AM$48+'TUSD BF'!$AM$48+'TUSD CVA'!$AM$48)*1</f>
        <v>590.21277757372172</v>
      </c>
      <c r="AA440" s="4">
        <f>('TE BE'!$AB$38+'TE BF'!$AB$38+'TE CVA'!$AB$38)*1</f>
        <v>136.62265710865657</v>
      </c>
      <c r="AB440" s="4">
        <f>$K$440*$V$440</f>
        <v>0</v>
      </c>
      <c r="AC440" s="4">
        <f>$M$440*$W$440</f>
        <v>444231.04320000001</v>
      </c>
      <c r="AD440" s="4">
        <f>$O$440*$X$440</f>
        <v>133106.31839999999</v>
      </c>
      <c r="AE440" s="4">
        <f>$K$440*$Y$440</f>
        <v>0</v>
      </c>
      <c r="AF440" s="4">
        <f ca="1">$M$440*$Z$440</f>
        <v>522834.08688590565</v>
      </c>
      <c r="AG440" s="4">
        <f>$O$440*$AA$440</f>
        <v>121025.81457313235</v>
      </c>
    </row>
    <row r="441" spans="1:33" ht="11.25" customHeight="1" x14ac:dyDescent="0.25">
      <c r="A441" s="3" t="s">
        <v>27</v>
      </c>
      <c r="B441" s="3" t="s">
        <v>33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44593</v>
      </c>
      <c r="J441" s="4">
        <v>0</v>
      </c>
      <c r="K441" s="4">
        <v>0</v>
      </c>
      <c r="L441" s="4">
        <v>-1.004</v>
      </c>
      <c r="M441" s="4">
        <v>-1.004</v>
      </c>
      <c r="N441" s="4">
        <v>-1.004</v>
      </c>
      <c r="O441" s="4">
        <v>-1.004</v>
      </c>
      <c r="P441" s="4">
        <v>0</v>
      </c>
      <c r="Q441" s="3" t="s">
        <v>26</v>
      </c>
      <c r="R441" s="3">
        <v>0</v>
      </c>
      <c r="S441" s="4">
        <v>0</v>
      </c>
      <c r="T441" s="4">
        <v>66</v>
      </c>
      <c r="U441" s="4">
        <v>10</v>
      </c>
      <c r="V441" s="4">
        <f>IF(ISERROR(VLOOKUP($S$441,'TAR FIN'!$A$1:$O$88,15,0)),0,VLOOKUP($S$441,'TAR FIN'!$A$1:$O$88,15,0))</f>
        <v>0</v>
      </c>
      <c r="W441" s="4">
        <f>IF(ISERROR(VLOOKUP($T$441,'TAR FIN'!$A$1:$O$88,15,0)),0,VLOOKUP($T$441,'TAR FIN'!$A$1:$O$88,15,0))</f>
        <v>501.48</v>
      </c>
      <c r="X441" s="4">
        <f>IF(ISERROR(VLOOKUP($U$441,'TAR FIN'!$A$1:$O$88,15,0)),0,VLOOKUP($U$441,'TAR FIN'!$A$1:$O$88,15,0))</f>
        <v>150.26</v>
      </c>
      <c r="Y441" s="4"/>
      <c r="Z441" s="4">
        <f ca="1">('TUSD BE'!$AM$48+'TUSD BF'!$AM$48+'TUSD CVA'!$AM$48)*1</f>
        <v>590.21277757372172</v>
      </c>
      <c r="AA441" s="4">
        <f>('TE BE'!$AB$38+'TE BF'!$AB$38+'TE CVA'!$AB$38)*1</f>
        <v>136.62265710865657</v>
      </c>
      <c r="AB441" s="4">
        <f>$K$441*$V$441</f>
        <v>0</v>
      </c>
      <c r="AC441" s="4">
        <f>$M$441*$W$441</f>
        <v>-503.48592000000002</v>
      </c>
      <c r="AD441" s="4">
        <f>$O$441*$X$441</f>
        <v>-150.86104</v>
      </c>
      <c r="AE441" s="4">
        <f>$K$441*$Y$441</f>
        <v>0</v>
      </c>
      <c r="AF441" s="4">
        <f ca="1">$M$441*$Z$441</f>
        <v>-592.57362868401663</v>
      </c>
      <c r="AG441" s="4">
        <f>$O$441*$AA$441</f>
        <v>-137.16914773709121</v>
      </c>
    </row>
    <row r="442" spans="1:33" ht="11.25" customHeight="1" x14ac:dyDescent="0.25">
      <c r="A442" s="3" t="s">
        <v>28</v>
      </c>
      <c r="B442" s="3" t="s">
        <v>33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44593</v>
      </c>
      <c r="J442" s="4">
        <v>0</v>
      </c>
      <c r="K442" s="4">
        <v>0</v>
      </c>
      <c r="L442" s="4">
        <v>30.131</v>
      </c>
      <c r="M442" s="4">
        <v>30.131</v>
      </c>
      <c r="N442" s="4">
        <v>30.131</v>
      </c>
      <c r="O442" s="4">
        <v>30.131</v>
      </c>
      <c r="P442" s="4">
        <v>46</v>
      </c>
      <c r="Q442" s="3" t="s">
        <v>26</v>
      </c>
      <c r="R442" s="3">
        <v>0</v>
      </c>
      <c r="S442" s="4">
        <v>0</v>
      </c>
      <c r="T442" s="4">
        <v>66</v>
      </c>
      <c r="U442" s="4">
        <v>10</v>
      </c>
      <c r="V442" s="4">
        <f>IF(ISERROR(VLOOKUP($S$442,'TAR FIN'!$A$1:$O$88,15,0)),0,VLOOKUP($S$442,'TAR FIN'!$A$1:$O$88,15,0))</f>
        <v>0</v>
      </c>
      <c r="W442" s="4">
        <f>IF(ISERROR(VLOOKUP($T$442,'TAR FIN'!$A$1:$O$88,15,0)),0,VLOOKUP($T$442,'TAR FIN'!$A$1:$O$88,15,0))</f>
        <v>501.48</v>
      </c>
      <c r="X442" s="4">
        <f>IF(ISERROR(VLOOKUP($U$442,'TAR FIN'!$A$1:$O$88,15,0)),0,VLOOKUP($U$442,'TAR FIN'!$A$1:$O$88,15,0))</f>
        <v>150.26</v>
      </c>
      <c r="Y442" s="4"/>
      <c r="Z442" s="4">
        <f ca="1">('TUSD BE'!$AM$48+'TUSD BF'!$AM$48+'TUSD CVA'!$AM$48)*1</f>
        <v>590.21277757372172</v>
      </c>
      <c r="AA442" s="4">
        <f>('TE BE'!$AB$38+'TE BF'!$AB$38+'TE CVA'!$AB$38)*1</f>
        <v>136.62265710865657</v>
      </c>
      <c r="AB442" s="4">
        <f>$K$442*$V$442</f>
        <v>0</v>
      </c>
      <c r="AC442" s="4">
        <f>$M$442*$W$442</f>
        <v>15110.09388</v>
      </c>
      <c r="AD442" s="4">
        <f>$O$442*$X$442</f>
        <v>4527.4840599999998</v>
      </c>
      <c r="AE442" s="4">
        <f>$K$442*$Y$442</f>
        <v>0</v>
      </c>
      <c r="AF442" s="4">
        <f ca="1">$M$442*$Z$442</f>
        <v>17783.701201073811</v>
      </c>
      <c r="AG442" s="4">
        <f>$O$442*$AA$442</f>
        <v>4116.5772813409312</v>
      </c>
    </row>
    <row r="443" spans="1:33" ht="11.25" customHeight="1" x14ac:dyDescent="0.25">
      <c r="A443" s="3" t="s">
        <v>21</v>
      </c>
      <c r="B443" s="3" t="s">
        <v>33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44621</v>
      </c>
      <c r="J443" s="4">
        <v>0</v>
      </c>
      <c r="K443" s="4">
        <v>0</v>
      </c>
      <c r="L443" s="4">
        <v>798.06200000000001</v>
      </c>
      <c r="M443" s="4">
        <v>798.06200000000001</v>
      </c>
      <c r="N443" s="4">
        <v>798.06200000000001</v>
      </c>
      <c r="O443" s="4">
        <v>798.06200000000001</v>
      </c>
      <c r="P443" s="4">
        <v>1213</v>
      </c>
      <c r="Q443" s="3" t="s">
        <v>26</v>
      </c>
      <c r="R443" s="3">
        <v>0</v>
      </c>
      <c r="S443" s="4">
        <v>0</v>
      </c>
      <c r="T443" s="4">
        <v>66</v>
      </c>
      <c r="U443" s="4">
        <v>10</v>
      </c>
      <c r="V443" s="4">
        <f>IF(ISERROR(VLOOKUP($S$443,'TAR FIN'!$A$1:$O$88,15,0)),0,VLOOKUP($S$443,'TAR FIN'!$A$1:$O$88,15,0))</f>
        <v>0</v>
      </c>
      <c r="W443" s="4">
        <f>IF(ISERROR(VLOOKUP($T$443,'TAR FIN'!$A$1:$O$88,15,0)),0,VLOOKUP($T$443,'TAR FIN'!$A$1:$O$88,15,0))</f>
        <v>501.48</v>
      </c>
      <c r="X443" s="4">
        <f>IF(ISERROR(VLOOKUP($U$443,'TAR FIN'!$A$1:$O$88,15,0)),0,VLOOKUP($U$443,'TAR FIN'!$A$1:$O$88,15,0))</f>
        <v>150.26</v>
      </c>
      <c r="Y443" s="4"/>
      <c r="Z443" s="4">
        <f ca="1">('TUSD BE'!$AM$48+'TUSD BF'!$AM$48+'TUSD CVA'!$AM$48)*1</f>
        <v>590.21277757372172</v>
      </c>
      <c r="AA443" s="4">
        <f>('TE BE'!$AB$38+'TE BF'!$AB$38+'TE CVA'!$AB$38)*1</f>
        <v>136.62265710865657</v>
      </c>
      <c r="AB443" s="4">
        <f>$K$443*$V$443</f>
        <v>0</v>
      </c>
      <c r="AC443" s="4">
        <f>$M$443*$W$443</f>
        <v>400212.13176000002</v>
      </c>
      <c r="AD443" s="4">
        <f>$O$443*$X$443</f>
        <v>119916.79612</v>
      </c>
      <c r="AE443" s="4">
        <f>$K$443*$Y$443</f>
        <v>0</v>
      </c>
      <c r="AF443" s="4">
        <f ca="1">$M$443*$Z$443</f>
        <v>471026.38969603949</v>
      </c>
      <c r="AG443" s="4">
        <f>$O$443*$AA$443</f>
        <v>109033.35097744867</v>
      </c>
    </row>
    <row r="444" spans="1:33" ht="11.25" customHeight="1" x14ac:dyDescent="0.25">
      <c r="A444" s="3" t="s">
        <v>27</v>
      </c>
      <c r="B444" s="3" t="s">
        <v>33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44621</v>
      </c>
      <c r="J444" s="4">
        <v>0</v>
      </c>
      <c r="K444" s="4">
        <v>0</v>
      </c>
      <c r="L444" s="4">
        <v>-7.681</v>
      </c>
      <c r="M444" s="4">
        <v>-7.681</v>
      </c>
      <c r="N444" s="4">
        <v>-7.681</v>
      </c>
      <c r="O444" s="4">
        <v>-7.681</v>
      </c>
      <c r="P444" s="4">
        <v>0</v>
      </c>
      <c r="Q444" s="3" t="s">
        <v>26</v>
      </c>
      <c r="R444" s="3">
        <v>0</v>
      </c>
      <c r="S444" s="4">
        <v>0</v>
      </c>
      <c r="T444" s="4">
        <v>66</v>
      </c>
      <c r="U444" s="4">
        <v>10</v>
      </c>
      <c r="V444" s="4">
        <f>IF(ISERROR(VLOOKUP($S$444,'TAR FIN'!$A$1:$O$88,15,0)),0,VLOOKUP($S$444,'TAR FIN'!$A$1:$O$88,15,0))</f>
        <v>0</v>
      </c>
      <c r="W444" s="4">
        <f>IF(ISERROR(VLOOKUP($T$444,'TAR FIN'!$A$1:$O$88,15,0)),0,VLOOKUP($T$444,'TAR FIN'!$A$1:$O$88,15,0))</f>
        <v>501.48</v>
      </c>
      <c r="X444" s="4">
        <f>IF(ISERROR(VLOOKUP($U$444,'TAR FIN'!$A$1:$O$88,15,0)),0,VLOOKUP($U$444,'TAR FIN'!$A$1:$O$88,15,0))</f>
        <v>150.26</v>
      </c>
      <c r="Y444" s="4"/>
      <c r="Z444" s="4">
        <f ca="1">('TUSD BE'!$AM$48+'TUSD BF'!$AM$48+'TUSD CVA'!$AM$48)*1</f>
        <v>590.21277757372172</v>
      </c>
      <c r="AA444" s="4">
        <f>('TE BE'!$AB$38+'TE BF'!$AB$38+'TE CVA'!$AB$38)*1</f>
        <v>136.62265710865657</v>
      </c>
      <c r="AB444" s="4">
        <f>$K$444*$V$444</f>
        <v>0</v>
      </c>
      <c r="AC444" s="4">
        <f>$M$444*$W$444</f>
        <v>-3851.8678800000002</v>
      </c>
      <c r="AD444" s="4">
        <f>$O$444*$X$444</f>
        <v>-1154.14706</v>
      </c>
      <c r="AE444" s="4">
        <f>$K$444*$Y$444</f>
        <v>0</v>
      </c>
      <c r="AF444" s="4">
        <f ca="1">$M$444*$Z$444</f>
        <v>-4533.4243445437569</v>
      </c>
      <c r="AG444" s="4">
        <f>$O$444*$AA$444</f>
        <v>-1049.398629251591</v>
      </c>
    </row>
    <row r="445" spans="1:33" ht="11.25" customHeight="1" x14ac:dyDescent="0.25">
      <c r="A445" s="3" t="s">
        <v>28</v>
      </c>
      <c r="B445" s="3" t="s">
        <v>33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44621</v>
      </c>
      <c r="J445" s="4">
        <v>0</v>
      </c>
      <c r="K445" s="4">
        <v>0</v>
      </c>
      <c r="L445" s="4">
        <v>46.667000000000002</v>
      </c>
      <c r="M445" s="4">
        <v>46.667000000000002</v>
      </c>
      <c r="N445" s="4">
        <v>46.667000000000002</v>
      </c>
      <c r="O445" s="4">
        <v>46.667000000000002</v>
      </c>
      <c r="P445" s="4">
        <v>48</v>
      </c>
      <c r="Q445" s="3" t="s">
        <v>26</v>
      </c>
      <c r="R445" s="3">
        <v>0</v>
      </c>
      <c r="S445" s="4">
        <v>0</v>
      </c>
      <c r="T445" s="4">
        <v>66</v>
      </c>
      <c r="U445" s="4">
        <v>10</v>
      </c>
      <c r="V445" s="4">
        <f>IF(ISERROR(VLOOKUP($S$445,'TAR FIN'!$A$1:$O$88,15,0)),0,VLOOKUP($S$445,'TAR FIN'!$A$1:$O$88,15,0))</f>
        <v>0</v>
      </c>
      <c r="W445" s="4">
        <f>IF(ISERROR(VLOOKUP($T$445,'TAR FIN'!$A$1:$O$88,15,0)),0,VLOOKUP($T$445,'TAR FIN'!$A$1:$O$88,15,0))</f>
        <v>501.48</v>
      </c>
      <c r="X445" s="4">
        <f>IF(ISERROR(VLOOKUP($U$445,'TAR FIN'!$A$1:$O$88,15,0)),0,VLOOKUP($U$445,'TAR FIN'!$A$1:$O$88,15,0))</f>
        <v>150.26</v>
      </c>
      <c r="Y445" s="4"/>
      <c r="Z445" s="4">
        <f ca="1">('TUSD BE'!$AM$48+'TUSD BF'!$AM$48+'TUSD CVA'!$AM$48)*1</f>
        <v>590.21277757372172</v>
      </c>
      <c r="AA445" s="4">
        <f>('TE BE'!$AB$38+'TE BF'!$AB$38+'TE CVA'!$AB$38)*1</f>
        <v>136.62265710865657</v>
      </c>
      <c r="AB445" s="4">
        <f>$K$445*$V$445</f>
        <v>0</v>
      </c>
      <c r="AC445" s="4">
        <f>$M$445*$W$445</f>
        <v>23402.567160000002</v>
      </c>
      <c r="AD445" s="4">
        <f>$O$445*$X$445</f>
        <v>7012.1834199999994</v>
      </c>
      <c r="AE445" s="4">
        <f>$K$445*$Y$445</f>
        <v>0</v>
      </c>
      <c r="AF445" s="4">
        <f ca="1">$M$445*$Z$445</f>
        <v>27543.459691032873</v>
      </c>
      <c r="AG445" s="4">
        <f>$O$445*$AA$445</f>
        <v>6375.7695392896767</v>
      </c>
    </row>
    <row r="446" spans="1:33" ht="11.25" customHeight="1" x14ac:dyDescent="0.25">
      <c r="A446" s="3" t="s">
        <v>28</v>
      </c>
      <c r="B446" s="3" t="s">
        <v>33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44621</v>
      </c>
      <c r="J446" s="4">
        <v>0</v>
      </c>
      <c r="K446" s="4">
        <v>0</v>
      </c>
      <c r="L446" s="4">
        <v>-0.71399999999999997</v>
      </c>
      <c r="M446" s="4">
        <v>-0.71399999999999997</v>
      </c>
      <c r="N446" s="4">
        <v>-0.71399999999999997</v>
      </c>
      <c r="O446" s="4">
        <v>-0.71399999999999997</v>
      </c>
      <c r="P446" s="4">
        <v>2</v>
      </c>
      <c r="Q446" s="3" t="s">
        <v>26</v>
      </c>
      <c r="R446" s="3">
        <v>0</v>
      </c>
      <c r="S446" s="4">
        <v>0</v>
      </c>
      <c r="T446" s="4">
        <v>66</v>
      </c>
      <c r="U446" s="4">
        <v>10</v>
      </c>
      <c r="V446" s="4">
        <f>IF(ISERROR(VLOOKUP($S$446,'TAR FIN'!$A$1:$O$88,15,0)),0,VLOOKUP($S$446,'TAR FIN'!$A$1:$O$88,15,0))</f>
        <v>0</v>
      </c>
      <c r="W446" s="4">
        <f>IF(ISERROR(VLOOKUP($T$446,'TAR FIN'!$A$1:$O$88,15,0)),0,VLOOKUP($T$446,'TAR FIN'!$A$1:$O$88,15,0))</f>
        <v>501.48</v>
      </c>
      <c r="X446" s="4">
        <f>IF(ISERROR(VLOOKUP($U$446,'TAR FIN'!$A$1:$O$88,15,0)),0,VLOOKUP($U$446,'TAR FIN'!$A$1:$O$88,15,0))</f>
        <v>150.26</v>
      </c>
      <c r="Y446" s="4"/>
      <c r="Z446" s="4">
        <f ca="1">('TUSD BE'!$AM$48+'TUSD BF'!$AM$48+'TUSD CVA'!$AM$48)*1</f>
        <v>590.21277757372172</v>
      </c>
      <c r="AA446" s="4">
        <f>('TE BE'!$AB$38+'TE BF'!$AB$38+'TE CVA'!$AB$38)*1</f>
        <v>136.62265710865657</v>
      </c>
      <c r="AB446" s="4">
        <f>$K$446*$V$446</f>
        <v>0</v>
      </c>
      <c r="AC446" s="4">
        <f>$M$446*$W$446</f>
        <v>-358.05671999999998</v>
      </c>
      <c r="AD446" s="4">
        <f>$O$446*$X$446</f>
        <v>-107.28563999999999</v>
      </c>
      <c r="AE446" s="4">
        <f>$K$446*$Y$446</f>
        <v>0</v>
      </c>
      <c r="AF446" s="4">
        <f ca="1">$M$446*$Z$446</f>
        <v>-421.41192318763729</v>
      </c>
      <c r="AG446" s="4">
        <f>$O$446*$AA$446</f>
        <v>-97.548577175580789</v>
      </c>
    </row>
    <row r="447" spans="1:33" ht="11.25" customHeight="1" x14ac:dyDescent="0.25">
      <c r="A447" s="3" t="s">
        <v>21</v>
      </c>
      <c r="B447" s="3" t="s">
        <v>33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44652</v>
      </c>
      <c r="J447" s="4">
        <v>0</v>
      </c>
      <c r="K447" s="4">
        <v>0</v>
      </c>
      <c r="L447" s="4">
        <v>678.78099999999995</v>
      </c>
      <c r="M447" s="4">
        <v>678.78099999999995</v>
      </c>
      <c r="N447" s="4">
        <v>678.78099999999995</v>
      </c>
      <c r="O447" s="4">
        <v>678.78099999999995</v>
      </c>
      <c r="P447" s="4">
        <v>1220</v>
      </c>
      <c r="Q447" s="3" t="s">
        <v>26</v>
      </c>
      <c r="R447" s="3">
        <v>0</v>
      </c>
      <c r="S447" s="4">
        <v>0</v>
      </c>
      <c r="T447" s="4">
        <v>66</v>
      </c>
      <c r="U447" s="4">
        <v>10</v>
      </c>
      <c r="V447" s="4">
        <f>IF(ISERROR(VLOOKUP($S$447,'TAR FIN'!$A$1:$O$88,15,0)),0,VLOOKUP($S$447,'TAR FIN'!$A$1:$O$88,15,0))</f>
        <v>0</v>
      </c>
      <c r="W447" s="4">
        <f>IF(ISERROR(VLOOKUP($T$447,'TAR FIN'!$A$1:$O$88,15,0)),0,VLOOKUP($T$447,'TAR FIN'!$A$1:$O$88,15,0))</f>
        <v>501.48</v>
      </c>
      <c r="X447" s="4">
        <f>IF(ISERROR(VLOOKUP($U$447,'TAR FIN'!$A$1:$O$88,15,0)),0,VLOOKUP($U$447,'TAR FIN'!$A$1:$O$88,15,0))</f>
        <v>150.26</v>
      </c>
      <c r="Y447" s="4"/>
      <c r="Z447" s="4">
        <f ca="1">('TUSD BE'!$AM$48+'TUSD BF'!$AM$48+'TUSD CVA'!$AM$48)*1</f>
        <v>590.21277757372172</v>
      </c>
      <c r="AA447" s="4">
        <f>('TE BE'!$AB$38+'TE BF'!$AB$38+'TE CVA'!$AB$38)*1</f>
        <v>136.62265710865657</v>
      </c>
      <c r="AB447" s="4">
        <f>$K$447*$V$447</f>
        <v>0</v>
      </c>
      <c r="AC447" s="4">
        <f>$M$447*$W$447</f>
        <v>340395.09587999998</v>
      </c>
      <c r="AD447" s="4">
        <f>$O$447*$X$447</f>
        <v>101993.63305999999</v>
      </c>
      <c r="AE447" s="4">
        <f>$K$447*$Y$447</f>
        <v>0</v>
      </c>
      <c r="AF447" s="4">
        <f ca="1">$M$447*$Z$447</f>
        <v>400625.21937426837</v>
      </c>
      <c r="AG447" s="4">
        <f>$O$447*$AA$447</f>
        <v>92736.863814871002</v>
      </c>
    </row>
    <row r="448" spans="1:33" ht="11.25" customHeight="1" x14ac:dyDescent="0.25">
      <c r="A448" s="3" t="s">
        <v>28</v>
      </c>
      <c r="B448" s="3" t="s">
        <v>33</v>
      </c>
      <c r="C448" s="3" t="s">
        <v>23</v>
      </c>
      <c r="D448" s="3" t="s">
        <v>40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44652</v>
      </c>
      <c r="J448" s="4">
        <v>0</v>
      </c>
      <c r="K448" s="4">
        <v>0</v>
      </c>
      <c r="L448" s="4">
        <v>39.656999999999996</v>
      </c>
      <c r="M448" s="4">
        <v>39.656999999999996</v>
      </c>
      <c r="N448" s="4">
        <v>39.656999999999996</v>
      </c>
      <c r="O448" s="4">
        <v>39.656999999999996</v>
      </c>
      <c r="P448" s="4">
        <v>48</v>
      </c>
      <c r="Q448" s="3" t="s">
        <v>26</v>
      </c>
      <c r="R448" s="3">
        <v>0</v>
      </c>
      <c r="S448" s="4">
        <v>0</v>
      </c>
      <c r="T448" s="4">
        <v>66</v>
      </c>
      <c r="U448" s="4">
        <v>10</v>
      </c>
      <c r="V448" s="4">
        <f>IF(ISERROR(VLOOKUP($S$448,'TAR FIN'!$A$1:$O$88,15,0)),0,VLOOKUP($S$448,'TAR FIN'!$A$1:$O$88,15,0))</f>
        <v>0</v>
      </c>
      <c r="W448" s="4">
        <f>IF(ISERROR(VLOOKUP($T$448,'TAR FIN'!$A$1:$O$88,15,0)),0,VLOOKUP($T$448,'TAR FIN'!$A$1:$O$88,15,0))</f>
        <v>501.48</v>
      </c>
      <c r="X448" s="4">
        <f>IF(ISERROR(VLOOKUP($U$448,'TAR FIN'!$A$1:$O$88,15,0)),0,VLOOKUP($U$448,'TAR FIN'!$A$1:$O$88,15,0))</f>
        <v>150.26</v>
      </c>
      <c r="Y448" s="4"/>
      <c r="Z448" s="4">
        <f ca="1">('TUSD BE'!$AM$48+'TUSD BF'!$AM$48+'TUSD CVA'!$AM$48)*1</f>
        <v>590.21277757372172</v>
      </c>
      <c r="AA448" s="4">
        <f>('TE BE'!$AB$38+'TE BF'!$AB$38+'TE CVA'!$AB$38)*1</f>
        <v>136.62265710865657</v>
      </c>
      <c r="AB448" s="4">
        <f>$K$448*$V$448</f>
        <v>0</v>
      </c>
      <c r="AC448" s="4">
        <f>$M$448*$W$448</f>
        <v>19887.192359999997</v>
      </c>
      <c r="AD448" s="4">
        <f>$O$448*$X$448</f>
        <v>5958.860819999999</v>
      </c>
      <c r="AE448" s="4">
        <f>$K$448*$Y$448</f>
        <v>0</v>
      </c>
      <c r="AF448" s="4">
        <f ca="1">$M$448*$Z$448</f>
        <v>23406.068120241081</v>
      </c>
      <c r="AG448" s="4">
        <f>$O$448*$AA$448</f>
        <v>5418.0447129579934</v>
      </c>
    </row>
    <row r="449" spans="1:33" ht="11.25" customHeight="1" x14ac:dyDescent="0.25">
      <c r="A449" s="3" t="s">
        <v>21</v>
      </c>
      <c r="B449" s="3" t="s">
        <v>33</v>
      </c>
      <c r="C449" s="3" t="s">
        <v>23</v>
      </c>
      <c r="D449" s="3" t="s">
        <v>40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44682</v>
      </c>
      <c r="J449" s="4">
        <v>0</v>
      </c>
      <c r="K449" s="4">
        <v>0</v>
      </c>
      <c r="L449" s="4">
        <v>616.69600000000003</v>
      </c>
      <c r="M449" s="4">
        <v>616.69600000000003</v>
      </c>
      <c r="N449" s="4">
        <v>616.69600000000003</v>
      </c>
      <c r="O449" s="4">
        <v>616.69600000000003</v>
      </c>
      <c r="P449" s="4">
        <v>1213</v>
      </c>
      <c r="Q449" s="3" t="s">
        <v>26</v>
      </c>
      <c r="R449" s="3">
        <v>0</v>
      </c>
      <c r="S449" s="4">
        <v>0</v>
      </c>
      <c r="T449" s="4">
        <v>66</v>
      </c>
      <c r="U449" s="4">
        <v>10</v>
      </c>
      <c r="V449" s="4">
        <f>IF(ISERROR(VLOOKUP($S$449,'TAR FIN'!$A$1:$O$88,15,0)),0,VLOOKUP($S$449,'TAR FIN'!$A$1:$O$88,15,0))</f>
        <v>0</v>
      </c>
      <c r="W449" s="4">
        <f>IF(ISERROR(VLOOKUP($T$449,'TAR FIN'!$A$1:$O$88,15,0)),0,VLOOKUP($T$449,'TAR FIN'!$A$1:$O$88,15,0))</f>
        <v>501.48</v>
      </c>
      <c r="X449" s="4">
        <f>IF(ISERROR(VLOOKUP($U$449,'TAR FIN'!$A$1:$O$88,15,0)),0,VLOOKUP($U$449,'TAR FIN'!$A$1:$O$88,15,0))</f>
        <v>150.26</v>
      </c>
      <c r="Y449" s="4"/>
      <c r="Z449" s="4">
        <f ca="1">('TUSD BE'!$AM$48+'TUSD BF'!$AM$48+'TUSD CVA'!$AM$48)*1</f>
        <v>590.21277757372172</v>
      </c>
      <c r="AA449" s="4">
        <f>('TE BE'!$AB$38+'TE BF'!$AB$38+'TE CVA'!$AB$38)*1</f>
        <v>136.62265710865657</v>
      </c>
      <c r="AB449" s="4">
        <f>$K$449*$V$449</f>
        <v>0</v>
      </c>
      <c r="AC449" s="4">
        <f>$M$449*$W$449</f>
        <v>309260.71008000005</v>
      </c>
      <c r="AD449" s="4">
        <f>$O$449*$X$449</f>
        <v>92664.740959999996</v>
      </c>
      <c r="AE449" s="4">
        <f>$K$449*$Y$449</f>
        <v>0</v>
      </c>
      <c r="AF449" s="4">
        <f ca="1">$M$449*$Z$449</f>
        <v>363981.85907860391</v>
      </c>
      <c r="AG449" s="4">
        <f>$O$449*$AA$449</f>
        <v>84254.646148280081</v>
      </c>
    </row>
    <row r="450" spans="1:33" ht="11.25" customHeight="1" x14ac:dyDescent="0.25">
      <c r="A450" s="3" t="s">
        <v>28</v>
      </c>
      <c r="B450" s="3" t="s">
        <v>33</v>
      </c>
      <c r="C450" s="3" t="s">
        <v>23</v>
      </c>
      <c r="D450" s="3" t="s">
        <v>40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44682</v>
      </c>
      <c r="J450" s="4">
        <v>0</v>
      </c>
      <c r="K450" s="4">
        <v>0</v>
      </c>
      <c r="L450" s="4">
        <v>32.634</v>
      </c>
      <c r="M450" s="4">
        <v>32.634</v>
      </c>
      <c r="N450" s="4">
        <v>32.634</v>
      </c>
      <c r="O450" s="4">
        <v>32.634</v>
      </c>
      <c r="P450" s="4">
        <v>52</v>
      </c>
      <c r="Q450" s="3" t="s">
        <v>26</v>
      </c>
      <c r="R450" s="3">
        <v>0</v>
      </c>
      <c r="S450" s="4">
        <v>0</v>
      </c>
      <c r="T450" s="4">
        <v>66</v>
      </c>
      <c r="U450" s="4">
        <v>10</v>
      </c>
      <c r="V450" s="4">
        <f>IF(ISERROR(VLOOKUP($S$450,'TAR FIN'!$A$1:$O$88,15,0)),0,VLOOKUP($S$450,'TAR FIN'!$A$1:$O$88,15,0))</f>
        <v>0</v>
      </c>
      <c r="W450" s="4">
        <f>IF(ISERROR(VLOOKUP($T$450,'TAR FIN'!$A$1:$O$88,15,0)),0,VLOOKUP($T$450,'TAR FIN'!$A$1:$O$88,15,0))</f>
        <v>501.48</v>
      </c>
      <c r="X450" s="4">
        <f>IF(ISERROR(VLOOKUP($U$450,'TAR FIN'!$A$1:$O$88,15,0)),0,VLOOKUP($U$450,'TAR FIN'!$A$1:$O$88,15,0))</f>
        <v>150.26</v>
      </c>
      <c r="Y450" s="4"/>
      <c r="Z450" s="4">
        <f ca="1">('TUSD BE'!$AM$48+'TUSD BF'!$AM$48+'TUSD CVA'!$AM$48)*1</f>
        <v>590.21277757372172</v>
      </c>
      <c r="AA450" s="4">
        <f>('TE BE'!$AB$38+'TE BF'!$AB$38+'TE CVA'!$AB$38)*1</f>
        <v>136.62265710865657</v>
      </c>
      <c r="AB450" s="4">
        <f>$K$450*$V$450</f>
        <v>0</v>
      </c>
      <c r="AC450" s="4">
        <f>$M$450*$W$450</f>
        <v>16365.29832</v>
      </c>
      <c r="AD450" s="4">
        <f>$O$450*$X$450</f>
        <v>4903.5848399999995</v>
      </c>
      <c r="AE450" s="4">
        <f>$K$450*$Y$450</f>
        <v>0</v>
      </c>
      <c r="AF450" s="4">
        <f ca="1">$M$450*$Z$450</f>
        <v>19261.003783340835</v>
      </c>
      <c r="AG450" s="4">
        <f>$O$450*$AA$450</f>
        <v>4458.5437920838986</v>
      </c>
    </row>
    <row r="451" spans="1:33" ht="11.25" customHeight="1" x14ac:dyDescent="0.25">
      <c r="A451" s="3" t="s">
        <v>21</v>
      </c>
      <c r="B451" s="3" t="s">
        <v>33</v>
      </c>
      <c r="C451" s="3" t="s">
        <v>23</v>
      </c>
      <c r="D451" s="3" t="s">
        <v>40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44713</v>
      </c>
      <c r="J451" s="4">
        <v>0</v>
      </c>
      <c r="K451" s="4">
        <v>0</v>
      </c>
      <c r="L451" s="4">
        <v>616.24300000000005</v>
      </c>
      <c r="M451" s="4">
        <v>616.24300000000005</v>
      </c>
      <c r="N451" s="4">
        <v>616.24300000000005</v>
      </c>
      <c r="O451" s="4">
        <v>616.24300000000005</v>
      </c>
      <c r="P451" s="4">
        <v>1210</v>
      </c>
      <c r="Q451" s="3" t="s">
        <v>26</v>
      </c>
      <c r="R451" s="3">
        <v>0</v>
      </c>
      <c r="S451" s="4">
        <v>0</v>
      </c>
      <c r="T451" s="4">
        <v>66</v>
      </c>
      <c r="U451" s="4">
        <v>10</v>
      </c>
      <c r="V451" s="4">
        <f>IF(ISERROR(VLOOKUP($S$451,'TAR FIN'!$A$1:$O$88,15,0)),0,VLOOKUP($S$451,'TAR FIN'!$A$1:$O$88,15,0))</f>
        <v>0</v>
      </c>
      <c r="W451" s="4">
        <f>IF(ISERROR(VLOOKUP($T$451,'TAR FIN'!$A$1:$O$88,15,0)),0,VLOOKUP($T$451,'TAR FIN'!$A$1:$O$88,15,0))</f>
        <v>501.48</v>
      </c>
      <c r="X451" s="4">
        <f>IF(ISERROR(VLOOKUP($U$451,'TAR FIN'!$A$1:$O$88,15,0)),0,VLOOKUP($U$451,'TAR FIN'!$A$1:$O$88,15,0))</f>
        <v>150.26</v>
      </c>
      <c r="Y451" s="4"/>
      <c r="Z451" s="4">
        <f ca="1">('TUSD BE'!$AM$48+'TUSD BF'!$AM$48+'TUSD CVA'!$AM$48)*1</f>
        <v>590.21277757372172</v>
      </c>
      <c r="AA451" s="4">
        <f>('TE BE'!$AB$38+'TE BF'!$AB$38+'TE CVA'!$AB$38)*1</f>
        <v>136.62265710865657</v>
      </c>
      <c r="AB451" s="4">
        <f>$K$451*$V$451</f>
        <v>0</v>
      </c>
      <c r="AC451" s="4">
        <f>$M$451*$W$451</f>
        <v>309033.53964000003</v>
      </c>
      <c r="AD451" s="4">
        <f>$O$451*$X$451</f>
        <v>92596.673179999998</v>
      </c>
      <c r="AE451" s="4">
        <f>$K$451*$Y$451</f>
        <v>0</v>
      </c>
      <c r="AF451" s="4">
        <f ca="1">$M$451*$Z$451</f>
        <v>363714.49269036303</v>
      </c>
      <c r="AG451" s="4">
        <f>$O$451*$AA$451</f>
        <v>84192.756084609864</v>
      </c>
    </row>
    <row r="452" spans="1:33" ht="11.25" customHeight="1" x14ac:dyDescent="0.25">
      <c r="A452" s="3" t="s">
        <v>27</v>
      </c>
      <c r="B452" s="3" t="s">
        <v>33</v>
      </c>
      <c r="C452" s="3" t="s">
        <v>23</v>
      </c>
      <c r="D452" s="3" t="s">
        <v>40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44713</v>
      </c>
      <c r="J452" s="4">
        <v>0</v>
      </c>
      <c r="K452" s="4">
        <v>0</v>
      </c>
      <c r="L452" s="4">
        <v>-0.2</v>
      </c>
      <c r="M452" s="4">
        <v>-0.2</v>
      </c>
      <c r="N452" s="4">
        <v>-0.2</v>
      </c>
      <c r="O452" s="4">
        <v>-0.2</v>
      </c>
      <c r="P452" s="4">
        <v>0</v>
      </c>
      <c r="Q452" s="3" t="s">
        <v>26</v>
      </c>
      <c r="R452" s="3">
        <v>0</v>
      </c>
      <c r="S452" s="4">
        <v>0</v>
      </c>
      <c r="T452" s="4">
        <v>66</v>
      </c>
      <c r="U452" s="4">
        <v>10</v>
      </c>
      <c r="V452" s="4">
        <f>IF(ISERROR(VLOOKUP($S$452,'TAR FIN'!$A$1:$O$88,15,0)),0,VLOOKUP($S$452,'TAR FIN'!$A$1:$O$88,15,0))</f>
        <v>0</v>
      </c>
      <c r="W452" s="4">
        <f>IF(ISERROR(VLOOKUP($T$452,'TAR FIN'!$A$1:$O$88,15,0)),0,VLOOKUP($T$452,'TAR FIN'!$A$1:$O$88,15,0))</f>
        <v>501.48</v>
      </c>
      <c r="X452" s="4">
        <f>IF(ISERROR(VLOOKUP($U$452,'TAR FIN'!$A$1:$O$88,15,0)),0,VLOOKUP($U$452,'TAR FIN'!$A$1:$O$88,15,0))</f>
        <v>150.26</v>
      </c>
      <c r="Y452" s="4"/>
      <c r="Z452" s="4">
        <f ca="1">('TUSD BE'!$AM$48+'TUSD BF'!$AM$48+'TUSD CVA'!$AM$48)*1</f>
        <v>590.21277757372172</v>
      </c>
      <c r="AA452" s="4">
        <f>('TE BE'!$AB$38+'TE BF'!$AB$38+'TE CVA'!$AB$38)*1</f>
        <v>136.62265710865657</v>
      </c>
      <c r="AB452" s="4">
        <f>$K$452*$V$452</f>
        <v>0</v>
      </c>
      <c r="AC452" s="4">
        <f>$M$452*$W$452</f>
        <v>-100.29600000000001</v>
      </c>
      <c r="AD452" s="4">
        <f>$O$452*$X$452</f>
        <v>-30.052</v>
      </c>
      <c r="AE452" s="4">
        <f>$K$452*$Y$452</f>
        <v>0</v>
      </c>
      <c r="AF452" s="4">
        <f ca="1">$M$452*$Z$452</f>
        <v>-118.04255551474435</v>
      </c>
      <c r="AG452" s="4">
        <f>$O$452*$AA$452</f>
        <v>-27.324531421731315</v>
      </c>
    </row>
    <row r="453" spans="1:33" ht="11.25" customHeight="1" x14ac:dyDescent="0.25">
      <c r="A453" s="3" t="s">
        <v>28</v>
      </c>
      <c r="B453" s="3" t="s">
        <v>33</v>
      </c>
      <c r="C453" s="3" t="s">
        <v>23</v>
      </c>
      <c r="D453" s="3" t="s">
        <v>40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44713</v>
      </c>
      <c r="J453" s="4">
        <v>0</v>
      </c>
      <c r="K453" s="4">
        <v>0</v>
      </c>
      <c r="L453" s="4">
        <v>42.076999999999998</v>
      </c>
      <c r="M453" s="4">
        <v>42.076999999999998</v>
      </c>
      <c r="N453" s="4">
        <v>42.076999999999998</v>
      </c>
      <c r="O453" s="4">
        <v>42.076999999999998</v>
      </c>
      <c r="P453" s="4">
        <v>51</v>
      </c>
      <c r="Q453" s="3" t="s">
        <v>26</v>
      </c>
      <c r="R453" s="3">
        <v>0</v>
      </c>
      <c r="S453" s="4">
        <v>0</v>
      </c>
      <c r="T453" s="4">
        <v>66</v>
      </c>
      <c r="U453" s="4">
        <v>10</v>
      </c>
      <c r="V453" s="4">
        <f>IF(ISERROR(VLOOKUP($S$453,'TAR FIN'!$A$1:$O$88,15,0)),0,VLOOKUP($S$453,'TAR FIN'!$A$1:$O$88,15,0))</f>
        <v>0</v>
      </c>
      <c r="W453" s="4">
        <f>IF(ISERROR(VLOOKUP($T$453,'TAR FIN'!$A$1:$O$88,15,0)),0,VLOOKUP($T$453,'TAR FIN'!$A$1:$O$88,15,0))</f>
        <v>501.48</v>
      </c>
      <c r="X453" s="4">
        <f>IF(ISERROR(VLOOKUP($U$453,'TAR FIN'!$A$1:$O$88,15,0)),0,VLOOKUP($U$453,'TAR FIN'!$A$1:$O$88,15,0))</f>
        <v>150.26</v>
      </c>
      <c r="Y453" s="4"/>
      <c r="Z453" s="4">
        <f ca="1">('TUSD BE'!$AM$48+'TUSD BF'!$AM$48+'TUSD CVA'!$AM$48)*1</f>
        <v>590.21277757372172</v>
      </c>
      <c r="AA453" s="4">
        <f>('TE BE'!$AB$38+'TE BF'!$AB$38+'TE CVA'!$AB$38)*1</f>
        <v>136.62265710865657</v>
      </c>
      <c r="AB453" s="4">
        <f>$K$453*$V$453</f>
        <v>0</v>
      </c>
      <c r="AC453" s="4">
        <f>$M$453*$W$453</f>
        <v>21100.773959999999</v>
      </c>
      <c r="AD453" s="4">
        <f>$O$453*$X$453</f>
        <v>6322.4900199999993</v>
      </c>
      <c r="AE453" s="4">
        <f>$K$453*$Y$453</f>
        <v>0</v>
      </c>
      <c r="AF453" s="4">
        <f ca="1">$M$453*$Z$453</f>
        <v>24834.38304196949</v>
      </c>
      <c r="AG453" s="4">
        <f>$O$453*$AA$453</f>
        <v>5748.6715431609418</v>
      </c>
    </row>
    <row r="454" spans="1:33" ht="11.25" customHeight="1" x14ac:dyDescent="0.25">
      <c r="A454" s="3" t="s">
        <v>21</v>
      </c>
      <c r="B454" s="3" t="s">
        <v>33</v>
      </c>
      <c r="C454" s="3" t="s">
        <v>23</v>
      </c>
      <c r="D454" s="3" t="s">
        <v>40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44743</v>
      </c>
      <c r="J454" s="4">
        <v>0</v>
      </c>
      <c r="K454" s="4">
        <v>0</v>
      </c>
      <c r="L454" s="4">
        <v>632.80499999999995</v>
      </c>
      <c r="M454" s="4">
        <v>632.80499999999995</v>
      </c>
      <c r="N454" s="4">
        <v>632.80499999999995</v>
      </c>
      <c r="O454" s="4">
        <v>632.80499999999995</v>
      </c>
      <c r="P454" s="4">
        <v>1216</v>
      </c>
      <c r="Q454" s="3" t="s">
        <v>26</v>
      </c>
      <c r="R454" s="3">
        <v>0</v>
      </c>
      <c r="S454" s="4">
        <v>0</v>
      </c>
      <c r="T454" s="4">
        <v>66</v>
      </c>
      <c r="U454" s="4">
        <v>10</v>
      </c>
      <c r="V454" s="4">
        <f>IF(ISERROR(VLOOKUP($S$454,'TAR FIN'!$A$1:$O$88,15,0)),0,VLOOKUP($S$454,'TAR FIN'!$A$1:$O$88,15,0))</f>
        <v>0</v>
      </c>
      <c r="W454" s="4">
        <f>IF(ISERROR(VLOOKUP($T$454,'TAR FIN'!$A$1:$O$88,15,0)),0,VLOOKUP($T$454,'TAR FIN'!$A$1:$O$88,15,0))</f>
        <v>501.48</v>
      </c>
      <c r="X454" s="4">
        <f>IF(ISERROR(VLOOKUP($U$454,'TAR FIN'!$A$1:$O$88,15,0)),0,VLOOKUP($U$454,'TAR FIN'!$A$1:$O$88,15,0))</f>
        <v>150.26</v>
      </c>
      <c r="Y454" s="4"/>
      <c r="Z454" s="4">
        <f ca="1">('TUSD BE'!$AM$48+'TUSD BF'!$AM$48+'TUSD CVA'!$AM$48)*1</f>
        <v>590.21277757372172</v>
      </c>
      <c r="AA454" s="4">
        <f>('TE BE'!$AB$38+'TE BF'!$AB$38+'TE CVA'!$AB$38)*1</f>
        <v>136.62265710865657</v>
      </c>
      <c r="AB454" s="4">
        <f>$K$454*$V$454</f>
        <v>0</v>
      </c>
      <c r="AC454" s="4">
        <f>$M$454*$W$454</f>
        <v>317339.0514</v>
      </c>
      <c r="AD454" s="4">
        <f>$O$454*$X$454</f>
        <v>95085.27929999998</v>
      </c>
      <c r="AE454" s="4">
        <f>$K$454*$Y$454</f>
        <v>0</v>
      </c>
      <c r="AF454" s="4">
        <f ca="1">$M$454*$Z$454</f>
        <v>373489.59671253897</v>
      </c>
      <c r="AG454" s="4">
        <f>$O$454*$AA$454</f>
        <v>86455.500531643411</v>
      </c>
    </row>
    <row r="455" spans="1:33" ht="11.25" customHeight="1" x14ac:dyDescent="0.25">
      <c r="A455" s="3" t="s">
        <v>28</v>
      </c>
      <c r="B455" s="3" t="s">
        <v>33</v>
      </c>
      <c r="C455" s="3" t="s">
        <v>23</v>
      </c>
      <c r="D455" s="3" t="s">
        <v>40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44743</v>
      </c>
      <c r="J455" s="4">
        <v>0</v>
      </c>
      <c r="K455" s="4">
        <v>0</v>
      </c>
      <c r="L455" s="4">
        <v>42.026000000000003</v>
      </c>
      <c r="M455" s="4">
        <v>42.026000000000003</v>
      </c>
      <c r="N455" s="4">
        <v>42.026000000000003</v>
      </c>
      <c r="O455" s="4">
        <v>42.026000000000003</v>
      </c>
      <c r="P455" s="4">
        <v>51</v>
      </c>
      <c r="Q455" s="3" t="s">
        <v>26</v>
      </c>
      <c r="R455" s="3">
        <v>0</v>
      </c>
      <c r="S455" s="4">
        <v>0</v>
      </c>
      <c r="T455" s="4">
        <v>66</v>
      </c>
      <c r="U455" s="4">
        <v>10</v>
      </c>
      <c r="V455" s="4">
        <f>IF(ISERROR(VLOOKUP($S$455,'TAR FIN'!$A$1:$O$88,15,0)),0,VLOOKUP($S$455,'TAR FIN'!$A$1:$O$88,15,0))</f>
        <v>0</v>
      </c>
      <c r="W455" s="4">
        <f>IF(ISERROR(VLOOKUP($T$455,'TAR FIN'!$A$1:$O$88,15,0)),0,VLOOKUP($T$455,'TAR FIN'!$A$1:$O$88,15,0))</f>
        <v>501.48</v>
      </c>
      <c r="X455" s="4">
        <f>IF(ISERROR(VLOOKUP($U$455,'TAR FIN'!$A$1:$O$88,15,0)),0,VLOOKUP($U$455,'TAR FIN'!$A$1:$O$88,15,0))</f>
        <v>150.26</v>
      </c>
      <c r="Y455" s="4"/>
      <c r="Z455" s="4">
        <f ca="1">('TUSD BE'!$AM$48+'TUSD BF'!$AM$48+'TUSD CVA'!$AM$48)*1</f>
        <v>590.21277757372172</v>
      </c>
      <c r="AA455" s="4">
        <f>('TE BE'!$AB$38+'TE BF'!$AB$38+'TE CVA'!$AB$38)*1</f>
        <v>136.62265710865657</v>
      </c>
      <c r="AB455" s="4">
        <f>$K$455*$V$455</f>
        <v>0</v>
      </c>
      <c r="AC455" s="4">
        <f>$M$455*$W$455</f>
        <v>21075.198480000003</v>
      </c>
      <c r="AD455" s="4">
        <f>$O$455*$X$455</f>
        <v>6314.8267599999999</v>
      </c>
      <c r="AE455" s="4">
        <f>$K$455*$Y$455</f>
        <v>0</v>
      </c>
      <c r="AF455" s="4">
        <f ca="1">$M$455*$Z$455</f>
        <v>24804.282190313232</v>
      </c>
      <c r="AG455" s="4">
        <f>$O$455*$AA$455</f>
        <v>5741.703787648401</v>
      </c>
    </row>
    <row r="456" spans="1:33" ht="11.25" customHeight="1" x14ac:dyDescent="0.25">
      <c r="A456" s="3" t="s">
        <v>55</v>
      </c>
      <c r="B456" s="3" t="s">
        <v>33</v>
      </c>
      <c r="C456" s="3" t="s">
        <v>23</v>
      </c>
      <c r="D456" s="3" t="s">
        <v>40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44774</v>
      </c>
      <c r="J456" s="4">
        <v>0</v>
      </c>
      <c r="K456" s="4">
        <v>0</v>
      </c>
      <c r="L456" s="4">
        <v>632.80499999999995</v>
      </c>
      <c r="M456" s="4">
        <v>632.80499999999995</v>
      </c>
      <c r="N456" s="4">
        <v>632.80499999999995</v>
      </c>
      <c r="O456" s="4">
        <v>632.80499999999995</v>
      </c>
      <c r="P456" s="4">
        <v>1216</v>
      </c>
      <c r="Q456" s="3" t="s">
        <v>26</v>
      </c>
      <c r="R456" s="3">
        <v>0</v>
      </c>
      <c r="S456" s="4">
        <v>0</v>
      </c>
      <c r="T456" s="4">
        <v>66</v>
      </c>
      <c r="U456" s="4">
        <v>10</v>
      </c>
      <c r="V456" s="4">
        <f>IF(ISERROR(VLOOKUP($S$456,'TAR FIN'!$A$1:$O$88,15,0)),0,VLOOKUP($S$456,'TAR FIN'!$A$1:$O$88,15,0))</f>
        <v>0</v>
      </c>
      <c r="W456" s="4">
        <f>IF(ISERROR(VLOOKUP($T$456,'TAR FIN'!$A$1:$O$88,15,0)),0,VLOOKUP($T$456,'TAR FIN'!$A$1:$O$88,15,0))</f>
        <v>501.48</v>
      </c>
      <c r="X456" s="4">
        <f>IF(ISERROR(VLOOKUP($U$456,'TAR FIN'!$A$1:$O$88,15,0)),0,VLOOKUP($U$456,'TAR FIN'!$A$1:$O$88,15,0))</f>
        <v>150.26</v>
      </c>
      <c r="Y456" s="4"/>
      <c r="Z456" s="4">
        <f ca="1">('TUSD BE'!$AM$48+'TUSD BF'!$AM$48+'TUSD CVA'!$AM$48)*1</f>
        <v>590.21277757372172</v>
      </c>
      <c r="AA456" s="4">
        <f>('TE BE'!$AB$38+'TE BF'!$AB$38+'TE CVA'!$AB$38)*1</f>
        <v>136.62265710865657</v>
      </c>
      <c r="AB456" s="4">
        <f>$K$456*$V$456</f>
        <v>0</v>
      </c>
      <c r="AC456" s="4">
        <f>$M$456*$W$456</f>
        <v>317339.0514</v>
      </c>
      <c r="AD456" s="4">
        <f>$O$456*$X$456</f>
        <v>95085.27929999998</v>
      </c>
      <c r="AE456" s="4">
        <f>$K$456*$Y$456</f>
        <v>0</v>
      </c>
      <c r="AF456" s="4">
        <f ca="1">$M$456*$Z$456</f>
        <v>373489.59671253897</v>
      </c>
      <c r="AG456" s="4">
        <f>$O$456*$AA$456</f>
        <v>86455.500531643411</v>
      </c>
    </row>
    <row r="457" spans="1:33" ht="11.25" customHeight="1" x14ac:dyDescent="0.25">
      <c r="A457" s="3" t="s">
        <v>55</v>
      </c>
      <c r="B457" s="3" t="s">
        <v>33</v>
      </c>
      <c r="C457" s="3" t="s">
        <v>23</v>
      </c>
      <c r="D457" s="3" t="s">
        <v>40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44774</v>
      </c>
      <c r="J457" s="4">
        <v>0</v>
      </c>
      <c r="K457" s="4">
        <v>0</v>
      </c>
      <c r="L457" s="4">
        <v>42.026000000000003</v>
      </c>
      <c r="M457" s="4">
        <v>42.026000000000003</v>
      </c>
      <c r="N457" s="4">
        <v>42.026000000000003</v>
      </c>
      <c r="O457" s="4">
        <v>42.026000000000003</v>
      </c>
      <c r="P457" s="4">
        <v>51</v>
      </c>
      <c r="Q457" s="3" t="s">
        <v>26</v>
      </c>
      <c r="R457" s="3">
        <v>0</v>
      </c>
      <c r="S457" s="4">
        <v>0</v>
      </c>
      <c r="T457" s="4">
        <v>66</v>
      </c>
      <c r="U457" s="4">
        <v>10</v>
      </c>
      <c r="V457" s="4">
        <f>IF(ISERROR(VLOOKUP($S$457,'TAR FIN'!$A$1:$O$88,15,0)),0,VLOOKUP($S$457,'TAR FIN'!$A$1:$O$88,15,0))</f>
        <v>0</v>
      </c>
      <c r="W457" s="4">
        <f>IF(ISERROR(VLOOKUP($T$457,'TAR FIN'!$A$1:$O$88,15,0)),0,VLOOKUP($T$457,'TAR FIN'!$A$1:$O$88,15,0))</f>
        <v>501.48</v>
      </c>
      <c r="X457" s="4">
        <f>IF(ISERROR(VLOOKUP($U$457,'TAR FIN'!$A$1:$O$88,15,0)),0,VLOOKUP($U$457,'TAR FIN'!$A$1:$O$88,15,0))</f>
        <v>150.26</v>
      </c>
      <c r="Y457" s="4"/>
      <c r="Z457" s="4">
        <f ca="1">('TUSD BE'!$AM$48+'TUSD BF'!$AM$48+'TUSD CVA'!$AM$48)*1</f>
        <v>590.21277757372172</v>
      </c>
      <c r="AA457" s="4">
        <f>('TE BE'!$AB$38+'TE BF'!$AB$38+'TE CVA'!$AB$38)*1</f>
        <v>136.62265710865657</v>
      </c>
      <c r="AB457" s="4">
        <f>$K$457*$V$457</f>
        <v>0</v>
      </c>
      <c r="AC457" s="4">
        <f>$M$457*$W$457</f>
        <v>21075.198480000003</v>
      </c>
      <c r="AD457" s="4">
        <f>$O$457*$X$457</f>
        <v>6314.8267599999999</v>
      </c>
      <c r="AE457" s="4">
        <f>$K$457*$Y$457</f>
        <v>0</v>
      </c>
      <c r="AF457" s="4">
        <f ca="1">$M$457*$Z$457</f>
        <v>24804.282190313232</v>
      </c>
      <c r="AG457" s="4">
        <f>$O$457*$AA$457</f>
        <v>5741.703787648401</v>
      </c>
    </row>
    <row r="458" spans="1:33" ht="11.25" customHeight="1" x14ac:dyDescent="0.25">
      <c r="A458" s="3" t="s">
        <v>21</v>
      </c>
      <c r="B458" s="3" t="s">
        <v>33</v>
      </c>
      <c r="C458" s="3" t="s">
        <v>23</v>
      </c>
      <c r="D458" s="3" t="s">
        <v>51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44440</v>
      </c>
      <c r="J458" s="4">
        <v>0</v>
      </c>
      <c r="K458" s="4">
        <v>0</v>
      </c>
      <c r="L458" s="4">
        <v>5.7640000000000002</v>
      </c>
      <c r="M458" s="4">
        <v>5.7640000000000002</v>
      </c>
      <c r="N458" s="4">
        <v>5.7640000000000002</v>
      </c>
      <c r="O458" s="4">
        <v>5.7640000000000002</v>
      </c>
      <c r="P458" s="4">
        <v>3</v>
      </c>
      <c r="Q458" s="3" t="s">
        <v>26</v>
      </c>
      <c r="R458" s="3">
        <v>0</v>
      </c>
      <c r="S458" s="4">
        <v>0</v>
      </c>
      <c r="T458" s="4">
        <v>66</v>
      </c>
      <c r="U458" s="4">
        <v>10</v>
      </c>
      <c r="V458" s="4">
        <f>IF(ISERROR(VLOOKUP($S$458,'TAR FIN'!$A$1:$O$88,15,0)),0,VLOOKUP($S$458,'TAR FIN'!$A$1:$O$88,15,0))</f>
        <v>0</v>
      </c>
      <c r="W458" s="4">
        <f>IF(ISERROR(VLOOKUP($T$458,'TAR FIN'!$A$1:$O$88,15,0)),0,VLOOKUP($T$458,'TAR FIN'!$A$1:$O$88,15,0))</f>
        <v>501.48</v>
      </c>
      <c r="X458" s="4">
        <f>IF(ISERROR(VLOOKUP($U$458,'TAR FIN'!$A$1:$O$88,15,0)),0,VLOOKUP($U$458,'TAR FIN'!$A$1:$O$88,15,0))</f>
        <v>150.26</v>
      </c>
      <c r="Y458" s="4"/>
      <c r="Z458" s="4">
        <f ca="1">('TUSD BE'!$AM$48+'TUSD BF'!$AM$48+'TUSD CVA'!$AM$48)*1</f>
        <v>590.21277757372172</v>
      </c>
      <c r="AA458" s="4">
        <f>('TE BE'!$AB$38+'TE BF'!$AB$38+'TE CVA'!$AB$38)*1</f>
        <v>136.62265710865657</v>
      </c>
      <c r="AB458" s="4">
        <f>$K$458*$V$458</f>
        <v>0</v>
      </c>
      <c r="AC458" s="4">
        <f>$M$458*$W$458</f>
        <v>2890.5307200000002</v>
      </c>
      <c r="AD458" s="4">
        <f>$O$458*$X$458</f>
        <v>866.09863999999993</v>
      </c>
      <c r="AE458" s="4">
        <f>$K$458*$Y$458</f>
        <v>0</v>
      </c>
      <c r="AF458" s="4">
        <f ca="1">$M$458*$Z$458</f>
        <v>3401.9864499349324</v>
      </c>
      <c r="AG458" s="4">
        <f>$O$458*$AA$458</f>
        <v>787.49299557429651</v>
      </c>
    </row>
    <row r="459" spans="1:33" ht="11.25" customHeight="1" x14ac:dyDescent="0.25">
      <c r="A459" s="3" t="s">
        <v>21</v>
      </c>
      <c r="B459" s="3" t="s">
        <v>33</v>
      </c>
      <c r="C459" s="3" t="s">
        <v>23</v>
      </c>
      <c r="D459" s="3" t="s">
        <v>51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44470</v>
      </c>
      <c r="J459" s="4">
        <v>0</v>
      </c>
      <c r="K459" s="4">
        <v>0</v>
      </c>
      <c r="L459" s="4">
        <v>5.6</v>
      </c>
      <c r="M459" s="4">
        <v>5.6</v>
      </c>
      <c r="N459" s="4">
        <v>5.6</v>
      </c>
      <c r="O459" s="4">
        <v>5.6</v>
      </c>
      <c r="P459" s="4">
        <v>3</v>
      </c>
      <c r="Q459" s="3" t="s">
        <v>26</v>
      </c>
      <c r="R459" s="3">
        <v>0</v>
      </c>
      <c r="S459" s="4">
        <v>0</v>
      </c>
      <c r="T459" s="4">
        <v>66</v>
      </c>
      <c r="U459" s="4">
        <v>10</v>
      </c>
      <c r="V459" s="4">
        <f>IF(ISERROR(VLOOKUP($S$459,'TAR FIN'!$A$1:$O$88,15,0)),0,VLOOKUP($S$459,'TAR FIN'!$A$1:$O$88,15,0))</f>
        <v>0</v>
      </c>
      <c r="W459" s="4">
        <f>IF(ISERROR(VLOOKUP($T$459,'TAR FIN'!$A$1:$O$88,15,0)),0,VLOOKUP($T$459,'TAR FIN'!$A$1:$O$88,15,0))</f>
        <v>501.48</v>
      </c>
      <c r="X459" s="4">
        <f>IF(ISERROR(VLOOKUP($U$459,'TAR FIN'!$A$1:$O$88,15,0)),0,VLOOKUP($U$459,'TAR FIN'!$A$1:$O$88,15,0))</f>
        <v>150.26</v>
      </c>
      <c r="Y459" s="4"/>
      <c r="Z459" s="4">
        <f ca="1">('TUSD BE'!$AM$48+'TUSD BF'!$AM$48+'TUSD CVA'!$AM$48)*1</f>
        <v>590.21277757372172</v>
      </c>
      <c r="AA459" s="4">
        <f>('TE BE'!$AB$38+'TE BF'!$AB$38+'TE CVA'!$AB$38)*1</f>
        <v>136.62265710865657</v>
      </c>
      <c r="AB459" s="4">
        <f>$K$459*$V$459</f>
        <v>0</v>
      </c>
      <c r="AC459" s="4">
        <f>$M$459*$W$459</f>
        <v>2808.288</v>
      </c>
      <c r="AD459" s="4">
        <f>$O$459*$X$459</f>
        <v>841.4559999999999</v>
      </c>
      <c r="AE459" s="4">
        <f>$K$459*$Y$459</f>
        <v>0</v>
      </c>
      <c r="AF459" s="4">
        <f ca="1">$M$459*$Z$459</f>
        <v>3305.1915544128415</v>
      </c>
      <c r="AG459" s="4">
        <f>$O$459*$AA$459</f>
        <v>765.08687980847674</v>
      </c>
    </row>
    <row r="460" spans="1:33" ht="11.25" customHeight="1" x14ac:dyDescent="0.25">
      <c r="A460" s="3" t="s">
        <v>21</v>
      </c>
      <c r="B460" s="3" t="s">
        <v>33</v>
      </c>
      <c r="C460" s="3" t="s">
        <v>23</v>
      </c>
      <c r="D460" s="3" t="s">
        <v>51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44501</v>
      </c>
      <c r="J460" s="4">
        <v>0</v>
      </c>
      <c r="K460" s="4">
        <v>0</v>
      </c>
      <c r="L460" s="4">
        <v>6.5890000000000004</v>
      </c>
      <c r="M460" s="4">
        <v>6.5890000000000004</v>
      </c>
      <c r="N460" s="4">
        <v>6.5890000000000004</v>
      </c>
      <c r="O460" s="4">
        <v>6.5890000000000004</v>
      </c>
      <c r="P460" s="4">
        <v>3</v>
      </c>
      <c r="Q460" s="3" t="s">
        <v>26</v>
      </c>
      <c r="R460" s="3">
        <v>0</v>
      </c>
      <c r="S460" s="4">
        <v>0</v>
      </c>
      <c r="T460" s="4">
        <v>66</v>
      </c>
      <c r="U460" s="4">
        <v>10</v>
      </c>
      <c r="V460" s="4">
        <f>IF(ISERROR(VLOOKUP($S$460,'TAR FIN'!$A$1:$O$88,15,0)),0,VLOOKUP($S$460,'TAR FIN'!$A$1:$O$88,15,0))</f>
        <v>0</v>
      </c>
      <c r="W460" s="4">
        <f>IF(ISERROR(VLOOKUP($T$460,'TAR FIN'!$A$1:$O$88,15,0)),0,VLOOKUP($T$460,'TAR FIN'!$A$1:$O$88,15,0))</f>
        <v>501.48</v>
      </c>
      <c r="X460" s="4">
        <f>IF(ISERROR(VLOOKUP($U$460,'TAR FIN'!$A$1:$O$88,15,0)),0,VLOOKUP($U$460,'TAR FIN'!$A$1:$O$88,15,0))</f>
        <v>150.26</v>
      </c>
      <c r="Y460" s="4"/>
      <c r="Z460" s="4">
        <f ca="1">('TUSD BE'!$AM$48+'TUSD BF'!$AM$48+'TUSD CVA'!$AM$48)*1</f>
        <v>590.21277757372172</v>
      </c>
      <c r="AA460" s="4">
        <f>('TE BE'!$AB$38+'TE BF'!$AB$38+'TE CVA'!$AB$38)*1</f>
        <v>136.62265710865657</v>
      </c>
      <c r="AB460" s="4">
        <f>$K$460*$V$460</f>
        <v>0</v>
      </c>
      <c r="AC460" s="4">
        <f>$M$460*$W$460</f>
        <v>3304.2517200000002</v>
      </c>
      <c r="AD460" s="4">
        <f>$O$460*$X$460</f>
        <v>990.06313999999998</v>
      </c>
      <c r="AE460" s="4">
        <f>$K$460*$Y$460</f>
        <v>0</v>
      </c>
      <c r="AF460" s="4">
        <f ca="1">$M$460*$Z$460</f>
        <v>3888.9119914332528</v>
      </c>
      <c r="AG460" s="4">
        <f>$O$460*$AA$460</f>
        <v>900.20668768893813</v>
      </c>
    </row>
    <row r="461" spans="1:33" ht="11.25" customHeight="1" x14ac:dyDescent="0.25">
      <c r="A461" s="3" t="s">
        <v>21</v>
      </c>
      <c r="B461" s="3" t="s">
        <v>33</v>
      </c>
      <c r="C461" s="3" t="s">
        <v>23</v>
      </c>
      <c r="D461" s="3" t="s">
        <v>51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8.6780000000000008</v>
      </c>
      <c r="M461" s="4">
        <v>8.6780000000000008</v>
      </c>
      <c r="N461" s="4">
        <v>8.6780000000000008</v>
      </c>
      <c r="O461" s="4">
        <v>8.6780000000000008</v>
      </c>
      <c r="P461" s="4">
        <v>3</v>
      </c>
      <c r="Q461" s="3" t="s">
        <v>26</v>
      </c>
      <c r="R461" s="3">
        <v>0</v>
      </c>
      <c r="S461" s="4">
        <v>0</v>
      </c>
      <c r="T461" s="4">
        <v>66</v>
      </c>
      <c r="U461" s="4">
        <v>10</v>
      </c>
      <c r="V461" s="4">
        <f>IF(ISERROR(VLOOKUP($S$461,'TAR FIN'!$A$1:$O$88,15,0)),0,VLOOKUP($S$461,'TAR FIN'!$A$1:$O$88,15,0))</f>
        <v>0</v>
      </c>
      <c r="W461" s="4">
        <f>IF(ISERROR(VLOOKUP($T$461,'TAR FIN'!$A$1:$O$88,15,0)),0,VLOOKUP($T$461,'TAR FIN'!$A$1:$O$88,15,0))</f>
        <v>501.48</v>
      </c>
      <c r="X461" s="4">
        <f>IF(ISERROR(VLOOKUP($U$461,'TAR FIN'!$A$1:$O$88,15,0)),0,VLOOKUP($U$461,'TAR FIN'!$A$1:$O$88,15,0))</f>
        <v>150.26</v>
      </c>
      <c r="Y461" s="4"/>
      <c r="Z461" s="4">
        <f ca="1">('TUSD BE'!$AM$48+'TUSD BF'!$AM$48+'TUSD CVA'!$AM$48)*1</f>
        <v>590.21277757372172</v>
      </c>
      <c r="AA461" s="4">
        <f>('TE BE'!$AB$38+'TE BF'!$AB$38+'TE CVA'!$AB$38)*1</f>
        <v>136.62265710865657</v>
      </c>
      <c r="AB461" s="4">
        <f>$K$461*$V$461</f>
        <v>0</v>
      </c>
      <c r="AC461" s="4">
        <f>$M$461*$W$461</f>
        <v>4351.8434400000006</v>
      </c>
      <c r="AD461" s="4">
        <f>$O$461*$X$461</f>
        <v>1303.9562800000001</v>
      </c>
      <c r="AE461" s="4">
        <f>$K$461*$Y$461</f>
        <v>0</v>
      </c>
      <c r="AF461" s="4">
        <f ca="1">$M$461*$Z$461</f>
        <v>5121.8664837847573</v>
      </c>
      <c r="AG461" s="4">
        <f>$O$461*$AA$461</f>
        <v>1185.6114183889217</v>
      </c>
    </row>
    <row r="462" spans="1:33" ht="11.25" customHeight="1" x14ac:dyDescent="0.25">
      <c r="A462" s="3" t="s">
        <v>21</v>
      </c>
      <c r="B462" s="3" t="s">
        <v>33</v>
      </c>
      <c r="C462" s="3" t="s">
        <v>23</v>
      </c>
      <c r="D462" s="3" t="s">
        <v>51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44562</v>
      </c>
      <c r="J462" s="4">
        <v>0</v>
      </c>
      <c r="K462" s="4">
        <v>0</v>
      </c>
      <c r="L462" s="4">
        <v>10.233000000000001</v>
      </c>
      <c r="M462" s="4">
        <v>10.233000000000001</v>
      </c>
      <c r="N462" s="4">
        <v>10.233000000000001</v>
      </c>
      <c r="O462" s="4">
        <v>10.233000000000001</v>
      </c>
      <c r="P462" s="4">
        <v>3</v>
      </c>
      <c r="Q462" s="3" t="s">
        <v>26</v>
      </c>
      <c r="R462" s="3">
        <v>0</v>
      </c>
      <c r="S462" s="4">
        <v>0</v>
      </c>
      <c r="T462" s="4">
        <v>66</v>
      </c>
      <c r="U462" s="4">
        <v>10</v>
      </c>
      <c r="V462" s="4">
        <f>IF(ISERROR(VLOOKUP($S$462,'TAR FIN'!$A$1:$O$88,15,0)),0,VLOOKUP($S$462,'TAR FIN'!$A$1:$O$88,15,0))</f>
        <v>0</v>
      </c>
      <c r="W462" s="4">
        <f>IF(ISERROR(VLOOKUP($T$462,'TAR FIN'!$A$1:$O$88,15,0)),0,VLOOKUP($T$462,'TAR FIN'!$A$1:$O$88,15,0))</f>
        <v>501.48</v>
      </c>
      <c r="X462" s="4">
        <f>IF(ISERROR(VLOOKUP($U$462,'TAR FIN'!$A$1:$O$88,15,0)),0,VLOOKUP($U$462,'TAR FIN'!$A$1:$O$88,15,0))</f>
        <v>150.26</v>
      </c>
      <c r="Y462" s="4"/>
      <c r="Z462" s="4">
        <f ca="1">('TUSD BE'!$AM$48+'TUSD BF'!$AM$48+'TUSD CVA'!$AM$48)*1</f>
        <v>590.21277757372172</v>
      </c>
      <c r="AA462" s="4">
        <f>('TE BE'!$AB$38+'TE BF'!$AB$38+'TE CVA'!$AB$38)*1</f>
        <v>136.62265710865657</v>
      </c>
      <c r="AB462" s="4">
        <f>$K$462*$V$462</f>
        <v>0</v>
      </c>
      <c r="AC462" s="4">
        <f>$M$462*$W$462</f>
        <v>5131.6448400000008</v>
      </c>
      <c r="AD462" s="4">
        <f>$O$462*$X$462</f>
        <v>1537.61058</v>
      </c>
      <c r="AE462" s="4">
        <f>$K$462*$Y$462</f>
        <v>0</v>
      </c>
      <c r="AF462" s="4">
        <f ca="1">$M$462*$Z$462</f>
        <v>6039.6473529118948</v>
      </c>
      <c r="AG462" s="4">
        <f>$O$462*$AA$462</f>
        <v>1398.0596501928828</v>
      </c>
    </row>
    <row r="463" spans="1:33" ht="11.25" customHeight="1" x14ac:dyDescent="0.25">
      <c r="A463" s="3" t="s">
        <v>21</v>
      </c>
      <c r="B463" s="3" t="s">
        <v>33</v>
      </c>
      <c r="C463" s="3" t="s">
        <v>23</v>
      </c>
      <c r="D463" s="3" t="s">
        <v>51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44593</v>
      </c>
      <c r="J463" s="4">
        <v>0</v>
      </c>
      <c r="K463" s="4">
        <v>0</v>
      </c>
      <c r="L463" s="4">
        <v>9.0310000000000006</v>
      </c>
      <c r="M463" s="4">
        <v>9.0310000000000006</v>
      </c>
      <c r="N463" s="4">
        <v>9.0310000000000006</v>
      </c>
      <c r="O463" s="4">
        <v>9.0310000000000006</v>
      </c>
      <c r="P463" s="4">
        <v>3</v>
      </c>
      <c r="Q463" s="3" t="s">
        <v>26</v>
      </c>
      <c r="R463" s="3">
        <v>0</v>
      </c>
      <c r="S463" s="4">
        <v>0</v>
      </c>
      <c r="T463" s="4">
        <v>66</v>
      </c>
      <c r="U463" s="4">
        <v>10</v>
      </c>
      <c r="V463" s="4">
        <f>IF(ISERROR(VLOOKUP($S$463,'TAR FIN'!$A$1:$O$88,15,0)),0,VLOOKUP($S$463,'TAR FIN'!$A$1:$O$88,15,0))</f>
        <v>0</v>
      </c>
      <c r="W463" s="4">
        <f>IF(ISERROR(VLOOKUP($T$463,'TAR FIN'!$A$1:$O$88,15,0)),0,VLOOKUP($T$463,'TAR FIN'!$A$1:$O$88,15,0))</f>
        <v>501.48</v>
      </c>
      <c r="X463" s="4">
        <f>IF(ISERROR(VLOOKUP($U$463,'TAR FIN'!$A$1:$O$88,15,0)),0,VLOOKUP($U$463,'TAR FIN'!$A$1:$O$88,15,0))</f>
        <v>150.26</v>
      </c>
      <c r="Y463" s="4"/>
      <c r="Z463" s="4">
        <f ca="1">('TUSD BE'!$AM$48+'TUSD BF'!$AM$48+'TUSD CVA'!$AM$48)*1</f>
        <v>590.21277757372172</v>
      </c>
      <c r="AA463" s="4">
        <f>('TE BE'!$AB$38+'TE BF'!$AB$38+'TE CVA'!$AB$38)*1</f>
        <v>136.62265710865657</v>
      </c>
      <c r="AB463" s="4">
        <f>$K$463*$V$463</f>
        <v>0</v>
      </c>
      <c r="AC463" s="4">
        <f>$M$463*$W$463</f>
        <v>4528.8658800000003</v>
      </c>
      <c r="AD463" s="4">
        <f>$O$463*$X$463</f>
        <v>1356.9980599999999</v>
      </c>
      <c r="AE463" s="4">
        <f>$K$463*$Y$463</f>
        <v>0</v>
      </c>
      <c r="AF463" s="4">
        <f ca="1">$M$463*$Z$463</f>
        <v>5330.2115942682813</v>
      </c>
      <c r="AG463" s="4">
        <f>$O$463*$AA$463</f>
        <v>1233.8392163482777</v>
      </c>
    </row>
    <row r="464" spans="1:33" ht="11.25" customHeight="1" x14ac:dyDescent="0.25">
      <c r="A464" s="3" t="s">
        <v>21</v>
      </c>
      <c r="B464" s="3" t="s">
        <v>33</v>
      </c>
      <c r="C464" s="3" t="s">
        <v>23</v>
      </c>
      <c r="D464" s="3" t="s">
        <v>51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8.0239999999999991</v>
      </c>
      <c r="M464" s="4">
        <v>8.0239999999999991</v>
      </c>
      <c r="N464" s="4">
        <v>8.0239999999999991</v>
      </c>
      <c r="O464" s="4">
        <v>8.0239999999999991</v>
      </c>
      <c r="P464" s="4">
        <v>4</v>
      </c>
      <c r="Q464" s="3" t="s">
        <v>26</v>
      </c>
      <c r="R464" s="3">
        <v>0</v>
      </c>
      <c r="S464" s="4">
        <v>0</v>
      </c>
      <c r="T464" s="4">
        <v>66</v>
      </c>
      <c r="U464" s="4">
        <v>10</v>
      </c>
      <c r="V464" s="4">
        <f>IF(ISERROR(VLOOKUP($S$464,'TAR FIN'!$A$1:$O$88,15,0)),0,VLOOKUP($S$464,'TAR FIN'!$A$1:$O$88,15,0))</f>
        <v>0</v>
      </c>
      <c r="W464" s="4">
        <f>IF(ISERROR(VLOOKUP($T$464,'TAR FIN'!$A$1:$O$88,15,0)),0,VLOOKUP($T$464,'TAR FIN'!$A$1:$O$88,15,0))</f>
        <v>501.48</v>
      </c>
      <c r="X464" s="4">
        <f>IF(ISERROR(VLOOKUP($U$464,'TAR FIN'!$A$1:$O$88,15,0)),0,VLOOKUP($U$464,'TAR FIN'!$A$1:$O$88,15,0))</f>
        <v>150.26</v>
      </c>
      <c r="Y464" s="4"/>
      <c r="Z464" s="4">
        <f ca="1">('TUSD BE'!$AM$48+'TUSD BF'!$AM$48+'TUSD CVA'!$AM$48)*1</f>
        <v>590.21277757372172</v>
      </c>
      <c r="AA464" s="4">
        <f>('TE BE'!$AB$38+'TE BF'!$AB$38+'TE CVA'!$AB$38)*1</f>
        <v>136.62265710865657</v>
      </c>
      <c r="AB464" s="4">
        <f>$K$464*$V$464</f>
        <v>0</v>
      </c>
      <c r="AC464" s="4">
        <f>$M$464*$W$464</f>
        <v>4023.8755199999996</v>
      </c>
      <c r="AD464" s="4">
        <f>$O$464*$X$464</f>
        <v>1205.6862399999998</v>
      </c>
      <c r="AE464" s="4">
        <f>$K$464*$Y$464</f>
        <v>0</v>
      </c>
      <c r="AF464" s="4">
        <f ca="1">$M$464*$Z$464</f>
        <v>4735.8673272515425</v>
      </c>
      <c r="AG464" s="4">
        <f>$O$464*$AA$464</f>
        <v>1096.2602006398602</v>
      </c>
    </row>
    <row r="465" spans="1:33" ht="11.25" customHeight="1" x14ac:dyDescent="0.25">
      <c r="A465" s="3" t="s">
        <v>21</v>
      </c>
      <c r="B465" s="3" t="s">
        <v>33</v>
      </c>
      <c r="C465" s="3" t="s">
        <v>23</v>
      </c>
      <c r="D465" s="3" t="s">
        <v>51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44652</v>
      </c>
      <c r="J465" s="4">
        <v>0</v>
      </c>
      <c r="K465" s="4">
        <v>0</v>
      </c>
      <c r="L465" s="4">
        <v>6.7210000000000001</v>
      </c>
      <c r="M465" s="4">
        <v>6.7210000000000001</v>
      </c>
      <c r="N465" s="4">
        <v>6.7210000000000001</v>
      </c>
      <c r="O465" s="4">
        <v>6.7210000000000001</v>
      </c>
      <c r="P465" s="4">
        <v>4</v>
      </c>
      <c r="Q465" s="3" t="s">
        <v>26</v>
      </c>
      <c r="R465" s="3">
        <v>0</v>
      </c>
      <c r="S465" s="4">
        <v>0</v>
      </c>
      <c r="T465" s="4">
        <v>66</v>
      </c>
      <c r="U465" s="4">
        <v>10</v>
      </c>
      <c r="V465" s="4">
        <f>IF(ISERROR(VLOOKUP($S$465,'TAR FIN'!$A$1:$O$88,15,0)),0,VLOOKUP($S$465,'TAR FIN'!$A$1:$O$88,15,0))</f>
        <v>0</v>
      </c>
      <c r="W465" s="4">
        <f>IF(ISERROR(VLOOKUP($T$465,'TAR FIN'!$A$1:$O$88,15,0)),0,VLOOKUP($T$465,'TAR FIN'!$A$1:$O$88,15,0))</f>
        <v>501.48</v>
      </c>
      <c r="X465" s="4">
        <f>IF(ISERROR(VLOOKUP($U$465,'TAR FIN'!$A$1:$O$88,15,0)),0,VLOOKUP($U$465,'TAR FIN'!$A$1:$O$88,15,0))</f>
        <v>150.26</v>
      </c>
      <c r="Y465" s="4"/>
      <c r="Z465" s="4">
        <f ca="1">('TUSD BE'!$AM$48+'TUSD BF'!$AM$48+'TUSD CVA'!$AM$48)*1</f>
        <v>590.21277757372172</v>
      </c>
      <c r="AA465" s="4">
        <f>('TE BE'!$AB$38+'TE BF'!$AB$38+'TE CVA'!$AB$38)*1</f>
        <v>136.62265710865657</v>
      </c>
      <c r="AB465" s="4">
        <f>$K$465*$V$465</f>
        <v>0</v>
      </c>
      <c r="AC465" s="4">
        <f>$M$465*$W$465</f>
        <v>3370.4470800000004</v>
      </c>
      <c r="AD465" s="4">
        <f>$O$465*$X$465</f>
        <v>1009.8974599999999</v>
      </c>
      <c r="AE465" s="4">
        <f>$K$465*$Y$465</f>
        <v>0</v>
      </c>
      <c r="AF465" s="4">
        <f ca="1">$M$465*$Z$465</f>
        <v>3966.820078072984</v>
      </c>
      <c r="AG465" s="4">
        <f>$O$465*$AA$465</f>
        <v>918.24087842728079</v>
      </c>
    </row>
    <row r="466" spans="1:33" ht="11.25" customHeight="1" x14ac:dyDescent="0.25">
      <c r="A466" s="3" t="s">
        <v>21</v>
      </c>
      <c r="B466" s="3" t="s">
        <v>33</v>
      </c>
      <c r="C466" s="3" t="s">
        <v>23</v>
      </c>
      <c r="D466" s="3" t="s">
        <v>51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44682</v>
      </c>
      <c r="J466" s="4">
        <v>0</v>
      </c>
      <c r="K466" s="4">
        <v>0</v>
      </c>
      <c r="L466" s="4">
        <v>4.9660000000000002</v>
      </c>
      <c r="M466" s="4">
        <v>4.9660000000000002</v>
      </c>
      <c r="N466" s="4">
        <v>4.9660000000000002</v>
      </c>
      <c r="O466" s="4">
        <v>4.9660000000000002</v>
      </c>
      <c r="P466" s="4">
        <v>4</v>
      </c>
      <c r="Q466" s="3" t="s">
        <v>26</v>
      </c>
      <c r="R466" s="3">
        <v>0</v>
      </c>
      <c r="S466" s="4">
        <v>0</v>
      </c>
      <c r="T466" s="4">
        <v>66</v>
      </c>
      <c r="U466" s="4">
        <v>10</v>
      </c>
      <c r="V466" s="4">
        <f>IF(ISERROR(VLOOKUP($S$466,'TAR FIN'!$A$1:$O$88,15,0)),0,VLOOKUP($S$466,'TAR FIN'!$A$1:$O$88,15,0))</f>
        <v>0</v>
      </c>
      <c r="W466" s="4">
        <f>IF(ISERROR(VLOOKUP($T$466,'TAR FIN'!$A$1:$O$88,15,0)),0,VLOOKUP($T$466,'TAR FIN'!$A$1:$O$88,15,0))</f>
        <v>501.48</v>
      </c>
      <c r="X466" s="4">
        <f>IF(ISERROR(VLOOKUP($U$466,'TAR FIN'!$A$1:$O$88,15,0)),0,VLOOKUP($U$466,'TAR FIN'!$A$1:$O$88,15,0))</f>
        <v>150.26</v>
      </c>
      <c r="Y466" s="4"/>
      <c r="Z466" s="4">
        <f ca="1">('TUSD BE'!$AM$48+'TUSD BF'!$AM$48+'TUSD CVA'!$AM$48)*1</f>
        <v>590.21277757372172</v>
      </c>
      <c r="AA466" s="4">
        <f>('TE BE'!$AB$38+'TE BF'!$AB$38+'TE CVA'!$AB$38)*1</f>
        <v>136.62265710865657</v>
      </c>
      <c r="AB466" s="4">
        <f>$K$466*$V$466</f>
        <v>0</v>
      </c>
      <c r="AC466" s="4">
        <f>$M$466*$W$466</f>
        <v>2490.3496800000003</v>
      </c>
      <c r="AD466" s="4">
        <f>$O$466*$X$466</f>
        <v>746.19115999999997</v>
      </c>
      <c r="AE466" s="4">
        <f>$K$466*$Y$466</f>
        <v>0</v>
      </c>
      <c r="AF466" s="4">
        <f ca="1">$M$466*$Z$466</f>
        <v>2930.996653431102</v>
      </c>
      <c r="AG466" s="4">
        <f>$O$466*$AA$466</f>
        <v>678.46811520158849</v>
      </c>
    </row>
    <row r="467" spans="1:33" ht="11.25" customHeight="1" x14ac:dyDescent="0.25">
      <c r="A467" s="3" t="s">
        <v>21</v>
      </c>
      <c r="B467" s="3" t="s">
        <v>33</v>
      </c>
      <c r="C467" s="3" t="s">
        <v>23</v>
      </c>
      <c r="D467" s="3" t="s">
        <v>51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44713</v>
      </c>
      <c r="J467" s="4">
        <v>0</v>
      </c>
      <c r="K467" s="4">
        <v>0</v>
      </c>
      <c r="L467" s="4">
        <v>5.4729999999999999</v>
      </c>
      <c r="M467" s="4">
        <v>5.4729999999999999</v>
      </c>
      <c r="N467" s="4">
        <v>5.4729999999999999</v>
      </c>
      <c r="O467" s="4">
        <v>5.4729999999999999</v>
      </c>
      <c r="P467" s="4">
        <v>4</v>
      </c>
      <c r="Q467" s="3" t="s">
        <v>26</v>
      </c>
      <c r="R467" s="3">
        <v>0</v>
      </c>
      <c r="S467" s="4">
        <v>0</v>
      </c>
      <c r="T467" s="4">
        <v>66</v>
      </c>
      <c r="U467" s="4">
        <v>10</v>
      </c>
      <c r="V467" s="4">
        <f>IF(ISERROR(VLOOKUP($S$467,'TAR FIN'!$A$1:$O$88,15,0)),0,VLOOKUP($S$467,'TAR FIN'!$A$1:$O$88,15,0))</f>
        <v>0</v>
      </c>
      <c r="W467" s="4">
        <f>IF(ISERROR(VLOOKUP($T$467,'TAR FIN'!$A$1:$O$88,15,0)),0,VLOOKUP($T$467,'TAR FIN'!$A$1:$O$88,15,0))</f>
        <v>501.48</v>
      </c>
      <c r="X467" s="4">
        <f>IF(ISERROR(VLOOKUP($U$467,'TAR FIN'!$A$1:$O$88,15,0)),0,VLOOKUP($U$467,'TAR FIN'!$A$1:$O$88,15,0))</f>
        <v>150.26</v>
      </c>
      <c r="Y467" s="4"/>
      <c r="Z467" s="4">
        <f ca="1">('TUSD BE'!$AM$48+'TUSD BF'!$AM$48+'TUSD CVA'!$AM$48)*1</f>
        <v>590.21277757372172</v>
      </c>
      <c r="AA467" s="4">
        <f>('TE BE'!$AB$38+'TE BF'!$AB$38+'TE CVA'!$AB$38)*1</f>
        <v>136.62265710865657</v>
      </c>
      <c r="AB467" s="4">
        <f>$K$467*$V$467</f>
        <v>0</v>
      </c>
      <c r="AC467" s="4">
        <f>$M$467*$W$467</f>
        <v>2744.6000399999998</v>
      </c>
      <c r="AD467" s="4">
        <f>$O$467*$X$467</f>
        <v>822.37297999999998</v>
      </c>
      <c r="AE467" s="4">
        <f>$K$467*$Y$467</f>
        <v>0</v>
      </c>
      <c r="AF467" s="4">
        <f ca="1">$M$467*$Z$467</f>
        <v>3230.234531660979</v>
      </c>
      <c r="AG467" s="4">
        <f>$O$467*$AA$467</f>
        <v>747.73580235567738</v>
      </c>
    </row>
    <row r="468" spans="1:33" ht="11.25" customHeight="1" x14ac:dyDescent="0.25">
      <c r="A468" s="3" t="s">
        <v>21</v>
      </c>
      <c r="B468" s="3" t="s">
        <v>33</v>
      </c>
      <c r="C468" s="3" t="s">
        <v>23</v>
      </c>
      <c r="D468" s="3" t="s">
        <v>51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44743</v>
      </c>
      <c r="J468" s="4">
        <v>0</v>
      </c>
      <c r="K468" s="4">
        <v>0</v>
      </c>
      <c r="L468" s="4">
        <v>5.3940000000000001</v>
      </c>
      <c r="M468" s="4">
        <v>5.3940000000000001</v>
      </c>
      <c r="N468" s="4">
        <v>5.3940000000000001</v>
      </c>
      <c r="O468" s="4">
        <v>5.3940000000000001</v>
      </c>
      <c r="P468" s="4">
        <v>4</v>
      </c>
      <c r="Q468" s="3" t="s">
        <v>26</v>
      </c>
      <c r="R468" s="3">
        <v>0</v>
      </c>
      <c r="S468" s="4">
        <v>0</v>
      </c>
      <c r="T468" s="4">
        <v>66</v>
      </c>
      <c r="U468" s="4">
        <v>10</v>
      </c>
      <c r="V468" s="4">
        <f>IF(ISERROR(VLOOKUP($S$468,'TAR FIN'!$A$1:$O$88,15,0)),0,VLOOKUP($S$468,'TAR FIN'!$A$1:$O$88,15,0))</f>
        <v>0</v>
      </c>
      <c r="W468" s="4">
        <f>IF(ISERROR(VLOOKUP($T$468,'TAR FIN'!$A$1:$O$88,15,0)),0,VLOOKUP($T$468,'TAR FIN'!$A$1:$O$88,15,0))</f>
        <v>501.48</v>
      </c>
      <c r="X468" s="4">
        <f>IF(ISERROR(VLOOKUP($U$468,'TAR FIN'!$A$1:$O$88,15,0)),0,VLOOKUP($U$468,'TAR FIN'!$A$1:$O$88,15,0))</f>
        <v>150.26</v>
      </c>
      <c r="Y468" s="4"/>
      <c r="Z468" s="4">
        <f ca="1">('TUSD BE'!$AM$48+'TUSD BF'!$AM$48+'TUSD CVA'!$AM$48)*1</f>
        <v>590.21277757372172</v>
      </c>
      <c r="AA468" s="4">
        <f>('TE BE'!$AB$38+'TE BF'!$AB$38+'TE CVA'!$AB$38)*1</f>
        <v>136.62265710865657</v>
      </c>
      <c r="AB468" s="4">
        <f>$K$468*$V$468</f>
        <v>0</v>
      </c>
      <c r="AC468" s="4">
        <f>$M$468*$W$468</f>
        <v>2704.9831200000003</v>
      </c>
      <c r="AD468" s="4">
        <f>$O$468*$X$468</f>
        <v>810.50243999999998</v>
      </c>
      <c r="AE468" s="4">
        <f>$K$468*$Y$468</f>
        <v>0</v>
      </c>
      <c r="AF468" s="4">
        <f ca="1">$M$468*$Z$468</f>
        <v>3183.6077222326549</v>
      </c>
      <c r="AG468" s="4">
        <f>$O$468*$AA$468</f>
        <v>736.94261244409358</v>
      </c>
    </row>
    <row r="469" spans="1:33" ht="11.25" customHeight="1" x14ac:dyDescent="0.25">
      <c r="A469" s="3" t="s">
        <v>55</v>
      </c>
      <c r="B469" s="3" t="s">
        <v>33</v>
      </c>
      <c r="C469" s="3" t="s">
        <v>23</v>
      </c>
      <c r="D469" s="3" t="s">
        <v>51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44774</v>
      </c>
      <c r="J469" s="4">
        <v>0</v>
      </c>
      <c r="K469" s="4">
        <v>0</v>
      </c>
      <c r="L469" s="4">
        <v>5.3940000000000001</v>
      </c>
      <c r="M469" s="4">
        <v>5.3940000000000001</v>
      </c>
      <c r="N469" s="4">
        <v>5.3940000000000001</v>
      </c>
      <c r="O469" s="4">
        <v>5.3940000000000001</v>
      </c>
      <c r="P469" s="4">
        <v>4</v>
      </c>
      <c r="Q469" s="3" t="s">
        <v>26</v>
      </c>
      <c r="R469" s="3">
        <v>0</v>
      </c>
      <c r="S469" s="4">
        <v>0</v>
      </c>
      <c r="T469" s="4">
        <v>66</v>
      </c>
      <c r="U469" s="4">
        <v>10</v>
      </c>
      <c r="V469" s="4">
        <f>IF(ISERROR(VLOOKUP($S$469,'TAR FIN'!$A$1:$O$88,15,0)),0,VLOOKUP($S$469,'TAR FIN'!$A$1:$O$88,15,0))</f>
        <v>0</v>
      </c>
      <c r="W469" s="4">
        <f>IF(ISERROR(VLOOKUP($T$469,'TAR FIN'!$A$1:$O$88,15,0)),0,VLOOKUP($T$469,'TAR FIN'!$A$1:$O$88,15,0))</f>
        <v>501.48</v>
      </c>
      <c r="X469" s="4">
        <f>IF(ISERROR(VLOOKUP($U$469,'TAR FIN'!$A$1:$O$88,15,0)),0,VLOOKUP($U$469,'TAR FIN'!$A$1:$O$88,15,0))</f>
        <v>150.26</v>
      </c>
      <c r="Y469" s="4"/>
      <c r="Z469" s="4">
        <f ca="1">('TUSD BE'!$AM$48+'TUSD BF'!$AM$48+'TUSD CVA'!$AM$48)*1</f>
        <v>590.21277757372172</v>
      </c>
      <c r="AA469" s="4">
        <f>('TE BE'!$AB$38+'TE BF'!$AB$38+'TE CVA'!$AB$38)*1</f>
        <v>136.62265710865657</v>
      </c>
      <c r="AB469" s="4">
        <f>$K$469*$V$469</f>
        <v>0</v>
      </c>
      <c r="AC469" s="4">
        <f>$M$469*$W$469</f>
        <v>2704.9831200000003</v>
      </c>
      <c r="AD469" s="4">
        <f>$O$469*$X$469</f>
        <v>810.50243999999998</v>
      </c>
      <c r="AE469" s="4">
        <f>$K$469*$Y$469</f>
        <v>0</v>
      </c>
      <c r="AF469" s="4">
        <f ca="1">$M$469*$Z$469</f>
        <v>3183.6077222326549</v>
      </c>
      <c r="AG469" s="4">
        <f>$O$469*$AA$469</f>
        <v>736.94261244409358</v>
      </c>
    </row>
    <row r="470" spans="1:33" ht="11.25" customHeight="1" x14ac:dyDescent="0.25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44440</v>
      </c>
      <c r="J470" s="4">
        <v>0</v>
      </c>
      <c r="K470" s="4">
        <v>0</v>
      </c>
      <c r="L470" s="4">
        <v>356.65600000000001</v>
      </c>
      <c r="M470" s="4">
        <v>356.65600000000001</v>
      </c>
      <c r="N470" s="4">
        <v>356.65600000000001</v>
      </c>
      <c r="O470" s="4">
        <v>356.65600000000001</v>
      </c>
      <c r="P470" s="4">
        <v>541</v>
      </c>
      <c r="Q470" s="3" t="s">
        <v>26</v>
      </c>
      <c r="R470" s="3">
        <v>0</v>
      </c>
      <c r="S470" s="4">
        <v>0</v>
      </c>
      <c r="T470" s="4">
        <v>66</v>
      </c>
      <c r="U470" s="4">
        <v>10</v>
      </c>
      <c r="V470" s="4">
        <f>IF(ISERROR(VLOOKUP($S$470,'TAR FIN'!$A$1:$O$88,15,0)),0,VLOOKUP($S$470,'TAR FIN'!$A$1:$O$88,15,0))</f>
        <v>0</v>
      </c>
      <c r="W470" s="4">
        <f>IF(ISERROR(VLOOKUP($T$470,'TAR FIN'!$A$1:$O$88,15,0)),0,VLOOKUP($T$470,'TAR FIN'!$A$1:$O$88,15,0))</f>
        <v>501.48</v>
      </c>
      <c r="X470" s="4">
        <f>IF(ISERROR(VLOOKUP($U$470,'TAR FIN'!$A$1:$O$88,15,0)),0,VLOOKUP($U$470,'TAR FIN'!$A$1:$O$88,15,0))</f>
        <v>150.26</v>
      </c>
      <c r="Y470" s="4"/>
      <c r="Z470" s="4">
        <f ca="1">('TUSD BE'!$AM$48+'TUSD BF'!$AM$48+'TUSD CVA'!$AM$48)*1</f>
        <v>590.21277757372172</v>
      </c>
      <c r="AA470" s="4">
        <f>('TE BE'!$AB$38+'TE BF'!$AB$38+'TE CVA'!$AB$38)*1</f>
        <v>136.62265710865657</v>
      </c>
      <c r="AB470" s="4">
        <f>$K$470*$V$470</f>
        <v>0</v>
      </c>
      <c r="AC470" s="4">
        <f>$M$470*$W$470</f>
        <v>178855.85088000001</v>
      </c>
      <c r="AD470" s="4">
        <f>$O$470*$X$470</f>
        <v>53591.130559999998</v>
      </c>
      <c r="AE470" s="4">
        <f>$K$470*$Y$470</f>
        <v>0</v>
      </c>
      <c r="AF470" s="4">
        <f ca="1">$M$470*$Z$470</f>
        <v>210502.92839833329</v>
      </c>
      <c r="AG470" s="4">
        <f>$O$470*$AA$470</f>
        <v>48727.290393745017</v>
      </c>
    </row>
    <row r="471" spans="1:33" ht="11.25" customHeight="1" x14ac:dyDescent="0.25">
      <c r="A471" s="3" t="s">
        <v>27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44440</v>
      </c>
      <c r="J471" s="4">
        <v>0</v>
      </c>
      <c r="K471" s="4">
        <v>0</v>
      </c>
      <c r="L471" s="4">
        <v>-0.03</v>
      </c>
      <c r="M471" s="4">
        <v>-0.03</v>
      </c>
      <c r="N471" s="4">
        <v>-0.03</v>
      </c>
      <c r="O471" s="4">
        <v>-0.03</v>
      </c>
      <c r="P471" s="4">
        <v>0</v>
      </c>
      <c r="Q471" s="3" t="s">
        <v>26</v>
      </c>
      <c r="R471" s="3">
        <v>0</v>
      </c>
      <c r="S471" s="4">
        <v>0</v>
      </c>
      <c r="T471" s="4">
        <v>66</v>
      </c>
      <c r="U471" s="4">
        <v>10</v>
      </c>
      <c r="V471" s="4">
        <f>IF(ISERROR(VLOOKUP($S$471,'TAR FIN'!$A$1:$O$88,15,0)),0,VLOOKUP($S$471,'TAR FIN'!$A$1:$O$88,15,0))</f>
        <v>0</v>
      </c>
      <c r="W471" s="4">
        <f>IF(ISERROR(VLOOKUP($T$471,'TAR FIN'!$A$1:$O$88,15,0)),0,VLOOKUP($T$471,'TAR FIN'!$A$1:$O$88,15,0))</f>
        <v>501.48</v>
      </c>
      <c r="X471" s="4">
        <f>IF(ISERROR(VLOOKUP($U$471,'TAR FIN'!$A$1:$O$88,15,0)),0,VLOOKUP($U$471,'TAR FIN'!$A$1:$O$88,15,0))</f>
        <v>150.26</v>
      </c>
      <c r="Y471" s="4"/>
      <c r="Z471" s="4">
        <f ca="1">('TUSD BE'!$AM$48+'TUSD BF'!$AM$48+'TUSD CVA'!$AM$48)*1</f>
        <v>590.21277757372172</v>
      </c>
      <c r="AA471" s="4">
        <f>('TE BE'!$AB$38+'TE BF'!$AB$38+'TE CVA'!$AB$38)*1</f>
        <v>136.62265710865657</v>
      </c>
      <c r="AB471" s="4">
        <f>$K$471*$V$471</f>
        <v>0</v>
      </c>
      <c r="AC471" s="4">
        <f>$M$471*$W$471</f>
        <v>-15.0444</v>
      </c>
      <c r="AD471" s="4">
        <f>$O$471*$X$471</f>
        <v>-4.5077999999999996</v>
      </c>
      <c r="AE471" s="4">
        <f>$K$471*$Y$471</f>
        <v>0</v>
      </c>
      <c r="AF471" s="4">
        <f ca="1">$M$471*$Z$471</f>
        <v>-17.70638332721165</v>
      </c>
      <c r="AG471" s="4">
        <f>$O$471*$AA$471</f>
        <v>-4.0986797132596973</v>
      </c>
    </row>
    <row r="472" spans="1:33" ht="11.25" customHeight="1" x14ac:dyDescent="0.25">
      <c r="A472" s="3" t="s">
        <v>28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44440</v>
      </c>
      <c r="J472" s="4">
        <v>0</v>
      </c>
      <c r="K472" s="4">
        <v>0</v>
      </c>
      <c r="L472" s="4">
        <v>9.1750000000000007</v>
      </c>
      <c r="M472" s="4">
        <v>9.1750000000000007</v>
      </c>
      <c r="N472" s="4">
        <v>9.1750000000000007</v>
      </c>
      <c r="O472" s="4">
        <v>9.1750000000000007</v>
      </c>
      <c r="P472" s="4">
        <v>6</v>
      </c>
      <c r="Q472" s="3" t="s">
        <v>26</v>
      </c>
      <c r="R472" s="3">
        <v>0</v>
      </c>
      <c r="S472" s="4">
        <v>0</v>
      </c>
      <c r="T472" s="4">
        <v>66</v>
      </c>
      <c r="U472" s="4">
        <v>10</v>
      </c>
      <c r="V472" s="4">
        <f>IF(ISERROR(VLOOKUP($S$472,'TAR FIN'!$A$1:$O$88,15,0)),0,VLOOKUP($S$472,'TAR FIN'!$A$1:$O$88,15,0))</f>
        <v>0</v>
      </c>
      <c r="W472" s="4">
        <f>IF(ISERROR(VLOOKUP($T$472,'TAR FIN'!$A$1:$O$88,15,0)),0,VLOOKUP($T$472,'TAR FIN'!$A$1:$O$88,15,0))</f>
        <v>501.48</v>
      </c>
      <c r="X472" s="4">
        <f>IF(ISERROR(VLOOKUP($U$472,'TAR FIN'!$A$1:$O$88,15,0)),0,VLOOKUP($U$472,'TAR FIN'!$A$1:$O$88,15,0))</f>
        <v>150.26</v>
      </c>
      <c r="Y472" s="4"/>
      <c r="Z472" s="4">
        <f ca="1">('TUSD BE'!$AM$48+'TUSD BF'!$AM$48+'TUSD CVA'!$AM$48)*1</f>
        <v>590.21277757372172</v>
      </c>
      <c r="AA472" s="4">
        <f>('TE BE'!$AB$38+'TE BF'!$AB$38+'TE CVA'!$AB$38)*1</f>
        <v>136.62265710865657</v>
      </c>
      <c r="AB472" s="4">
        <f>$K$472*$V$472</f>
        <v>0</v>
      </c>
      <c r="AC472" s="4">
        <f>$M$472*$W$472</f>
        <v>4601.0790000000006</v>
      </c>
      <c r="AD472" s="4">
        <f>$O$472*$X$472</f>
        <v>1378.6355000000001</v>
      </c>
      <c r="AE472" s="4">
        <f>$K$472*$Y$472</f>
        <v>0</v>
      </c>
      <c r="AF472" s="4">
        <f ca="1">$M$472*$Z$472</f>
        <v>5415.2022342388973</v>
      </c>
      <c r="AG472" s="4">
        <f>$O$472*$AA$472</f>
        <v>1253.512878971924</v>
      </c>
    </row>
    <row r="473" spans="1:33" ht="11.25" customHeight="1" x14ac:dyDescent="0.25">
      <c r="A473" s="3" t="s">
        <v>21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44470</v>
      </c>
      <c r="J473" s="4">
        <v>0</v>
      </c>
      <c r="K473" s="4">
        <v>0</v>
      </c>
      <c r="L473" s="4">
        <v>343.846</v>
      </c>
      <c r="M473" s="4">
        <v>343.846</v>
      </c>
      <c r="N473" s="4">
        <v>343.846</v>
      </c>
      <c r="O473" s="4">
        <v>343.846</v>
      </c>
      <c r="P473" s="4">
        <v>550</v>
      </c>
      <c r="Q473" s="3" t="s">
        <v>26</v>
      </c>
      <c r="R473" s="3">
        <v>0</v>
      </c>
      <c r="S473" s="4">
        <v>0</v>
      </c>
      <c r="T473" s="4">
        <v>66</v>
      </c>
      <c r="U473" s="4">
        <v>10</v>
      </c>
      <c r="V473" s="4">
        <f>IF(ISERROR(VLOOKUP($S$473,'TAR FIN'!$A$1:$O$88,15,0)),0,VLOOKUP($S$473,'TAR FIN'!$A$1:$O$88,15,0))</f>
        <v>0</v>
      </c>
      <c r="W473" s="4">
        <f>IF(ISERROR(VLOOKUP($T$473,'TAR FIN'!$A$1:$O$88,15,0)),0,VLOOKUP($T$473,'TAR FIN'!$A$1:$O$88,15,0))</f>
        <v>501.48</v>
      </c>
      <c r="X473" s="4">
        <f>IF(ISERROR(VLOOKUP($U$473,'TAR FIN'!$A$1:$O$88,15,0)),0,VLOOKUP($U$473,'TAR FIN'!$A$1:$O$88,15,0))</f>
        <v>150.26</v>
      </c>
      <c r="Y473" s="4"/>
      <c r="Z473" s="4">
        <f ca="1">('TUSD BE'!$AM$48+'TUSD BF'!$AM$48+'TUSD CVA'!$AM$48)*1</f>
        <v>590.21277757372172</v>
      </c>
      <c r="AA473" s="4">
        <f>('TE BE'!$AB$38+'TE BF'!$AB$38+'TE CVA'!$AB$38)*1</f>
        <v>136.62265710865657</v>
      </c>
      <c r="AB473" s="4">
        <f>$K$473*$V$473</f>
        <v>0</v>
      </c>
      <c r="AC473" s="4">
        <f>$M$473*$W$473</f>
        <v>172431.89208000002</v>
      </c>
      <c r="AD473" s="4">
        <f>$O$473*$X$473</f>
        <v>51666.299959999997</v>
      </c>
      <c r="AE473" s="4">
        <f>$K$473*$Y$473</f>
        <v>0</v>
      </c>
      <c r="AF473" s="4">
        <f ca="1">$M$473*$Z$473</f>
        <v>202942.30271761393</v>
      </c>
      <c r="AG473" s="4">
        <f>$O$473*$AA$473</f>
        <v>46977.154156183125</v>
      </c>
    </row>
    <row r="474" spans="1:33" ht="11.25" customHeight="1" x14ac:dyDescent="0.25">
      <c r="A474" s="3" t="s">
        <v>27</v>
      </c>
      <c r="B474" s="3" t="s">
        <v>33</v>
      </c>
      <c r="C474" s="3" t="s">
        <v>23</v>
      </c>
      <c r="D474" s="3" t="s">
        <v>34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44470</v>
      </c>
      <c r="J474" s="4">
        <v>0</v>
      </c>
      <c r="K474" s="4">
        <v>0</v>
      </c>
      <c r="L474" s="4">
        <v>0.91</v>
      </c>
      <c r="M474" s="4">
        <v>0.91</v>
      </c>
      <c r="N474" s="4">
        <v>0.91</v>
      </c>
      <c r="O474" s="4">
        <v>0.91</v>
      </c>
      <c r="P474" s="4">
        <v>0</v>
      </c>
      <c r="Q474" s="3" t="s">
        <v>26</v>
      </c>
      <c r="R474" s="3">
        <v>0</v>
      </c>
      <c r="S474" s="4">
        <v>0</v>
      </c>
      <c r="T474" s="4">
        <v>66</v>
      </c>
      <c r="U474" s="4">
        <v>10</v>
      </c>
      <c r="V474" s="4">
        <f>IF(ISERROR(VLOOKUP($S$474,'TAR FIN'!$A$1:$O$88,15,0)),0,VLOOKUP($S$474,'TAR FIN'!$A$1:$O$88,15,0))</f>
        <v>0</v>
      </c>
      <c r="W474" s="4">
        <f>IF(ISERROR(VLOOKUP($T$474,'TAR FIN'!$A$1:$O$88,15,0)),0,VLOOKUP($T$474,'TAR FIN'!$A$1:$O$88,15,0))</f>
        <v>501.48</v>
      </c>
      <c r="X474" s="4">
        <f>IF(ISERROR(VLOOKUP($U$474,'TAR FIN'!$A$1:$O$88,15,0)),0,VLOOKUP($U$474,'TAR FIN'!$A$1:$O$88,15,0))</f>
        <v>150.26</v>
      </c>
      <c r="Y474" s="4"/>
      <c r="Z474" s="4">
        <f ca="1">('TUSD BE'!$AM$48+'TUSD BF'!$AM$48+'TUSD CVA'!$AM$48)*1</f>
        <v>590.21277757372172</v>
      </c>
      <c r="AA474" s="4">
        <f>('TE BE'!$AB$38+'TE BF'!$AB$38+'TE CVA'!$AB$38)*1</f>
        <v>136.62265710865657</v>
      </c>
      <c r="AB474" s="4">
        <f>$K$474*$V$474</f>
        <v>0</v>
      </c>
      <c r="AC474" s="4">
        <f>$M$474*$W$474</f>
        <v>456.34680000000003</v>
      </c>
      <c r="AD474" s="4">
        <f>$O$474*$X$474</f>
        <v>136.73660000000001</v>
      </c>
      <c r="AE474" s="4">
        <f>$K$474*$Y$474</f>
        <v>0</v>
      </c>
      <c r="AF474" s="4">
        <f ca="1">$M$474*$Z$474</f>
        <v>537.09362759208682</v>
      </c>
      <c r="AG474" s="4">
        <f>$O$474*$AA$474</f>
        <v>124.32661796887749</v>
      </c>
    </row>
    <row r="475" spans="1:33" ht="11.25" customHeight="1" x14ac:dyDescent="0.25">
      <c r="A475" s="3" t="s">
        <v>28</v>
      </c>
      <c r="B475" s="3" t="s">
        <v>33</v>
      </c>
      <c r="C475" s="3" t="s">
        <v>23</v>
      </c>
      <c r="D475" s="3" t="s">
        <v>34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44470</v>
      </c>
      <c r="J475" s="4">
        <v>0</v>
      </c>
      <c r="K475" s="4">
        <v>0</v>
      </c>
      <c r="L475" s="4">
        <v>6.0739999999999998</v>
      </c>
      <c r="M475" s="4">
        <v>6.0739999999999998</v>
      </c>
      <c r="N475" s="4">
        <v>6.0739999999999998</v>
      </c>
      <c r="O475" s="4">
        <v>6.0739999999999998</v>
      </c>
      <c r="P475" s="4">
        <v>6</v>
      </c>
      <c r="Q475" s="3" t="s">
        <v>26</v>
      </c>
      <c r="R475" s="3">
        <v>0</v>
      </c>
      <c r="S475" s="4">
        <v>0</v>
      </c>
      <c r="T475" s="4">
        <v>66</v>
      </c>
      <c r="U475" s="4">
        <v>10</v>
      </c>
      <c r="V475" s="4">
        <f>IF(ISERROR(VLOOKUP($S$475,'TAR FIN'!$A$1:$O$88,15,0)),0,VLOOKUP($S$475,'TAR FIN'!$A$1:$O$88,15,0))</f>
        <v>0</v>
      </c>
      <c r="W475" s="4">
        <f>IF(ISERROR(VLOOKUP($T$475,'TAR FIN'!$A$1:$O$88,15,0)),0,VLOOKUP($T$475,'TAR FIN'!$A$1:$O$88,15,0))</f>
        <v>501.48</v>
      </c>
      <c r="X475" s="4">
        <f>IF(ISERROR(VLOOKUP($U$475,'TAR FIN'!$A$1:$O$88,15,0)),0,VLOOKUP($U$475,'TAR FIN'!$A$1:$O$88,15,0))</f>
        <v>150.26</v>
      </c>
      <c r="Y475" s="4"/>
      <c r="Z475" s="4">
        <f ca="1">('TUSD BE'!$AM$48+'TUSD BF'!$AM$48+'TUSD CVA'!$AM$48)*1</f>
        <v>590.21277757372172</v>
      </c>
      <c r="AA475" s="4">
        <f>('TE BE'!$AB$38+'TE BF'!$AB$38+'TE CVA'!$AB$38)*1</f>
        <v>136.62265710865657</v>
      </c>
      <c r="AB475" s="4">
        <f>$K$475*$V$475</f>
        <v>0</v>
      </c>
      <c r="AC475" s="4">
        <f>$M$475*$W$475</f>
        <v>3045.9895200000001</v>
      </c>
      <c r="AD475" s="4">
        <f>$O$475*$X$475</f>
        <v>912.67923999999994</v>
      </c>
      <c r="AE475" s="4">
        <f>$K$475*$Y$475</f>
        <v>0</v>
      </c>
      <c r="AF475" s="4">
        <f ca="1">$M$475*$Z$475</f>
        <v>3584.9524109827858</v>
      </c>
      <c r="AG475" s="4">
        <f>$O$475*$AA$475</f>
        <v>829.84601927797996</v>
      </c>
    </row>
    <row r="476" spans="1:33" ht="11.25" customHeight="1" x14ac:dyDescent="0.25">
      <c r="A476" s="3" t="s">
        <v>21</v>
      </c>
      <c r="B476" s="3" t="s">
        <v>33</v>
      </c>
      <c r="C476" s="3" t="s">
        <v>23</v>
      </c>
      <c r="D476" s="3" t="s">
        <v>34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44501</v>
      </c>
      <c r="J476" s="4">
        <v>0</v>
      </c>
      <c r="K476" s="4">
        <v>0</v>
      </c>
      <c r="L476" s="4">
        <v>330.74299999999999</v>
      </c>
      <c r="M476" s="4">
        <v>330.74299999999999</v>
      </c>
      <c r="N476" s="4">
        <v>330.74299999999999</v>
      </c>
      <c r="O476" s="4">
        <v>330.74299999999999</v>
      </c>
      <c r="P476" s="4">
        <v>553</v>
      </c>
      <c r="Q476" s="3" t="s">
        <v>26</v>
      </c>
      <c r="R476" s="3">
        <v>0</v>
      </c>
      <c r="S476" s="4">
        <v>0</v>
      </c>
      <c r="T476" s="4">
        <v>66</v>
      </c>
      <c r="U476" s="4">
        <v>10</v>
      </c>
      <c r="V476" s="4">
        <f>IF(ISERROR(VLOOKUP($S$476,'TAR FIN'!$A$1:$O$88,15,0)),0,VLOOKUP($S$476,'TAR FIN'!$A$1:$O$88,15,0))</f>
        <v>0</v>
      </c>
      <c r="W476" s="4">
        <f>IF(ISERROR(VLOOKUP($T$476,'TAR FIN'!$A$1:$O$88,15,0)),0,VLOOKUP($T$476,'TAR FIN'!$A$1:$O$88,15,0))</f>
        <v>501.48</v>
      </c>
      <c r="X476" s="4">
        <f>IF(ISERROR(VLOOKUP($U$476,'TAR FIN'!$A$1:$O$88,15,0)),0,VLOOKUP($U$476,'TAR FIN'!$A$1:$O$88,15,0))</f>
        <v>150.26</v>
      </c>
      <c r="Y476" s="4"/>
      <c r="Z476" s="4">
        <f ca="1">('TUSD BE'!$AM$48+'TUSD BF'!$AM$48+'TUSD CVA'!$AM$48)*1</f>
        <v>590.21277757372172</v>
      </c>
      <c r="AA476" s="4">
        <f>('TE BE'!$AB$38+'TE BF'!$AB$38+'TE CVA'!$AB$38)*1</f>
        <v>136.62265710865657</v>
      </c>
      <c r="AB476" s="4">
        <f>$K$476*$V$476</f>
        <v>0</v>
      </c>
      <c r="AC476" s="4">
        <f>$M$476*$W$476</f>
        <v>165860.99963999999</v>
      </c>
      <c r="AD476" s="4">
        <f>$O$476*$X$476</f>
        <v>49697.443179999995</v>
      </c>
      <c r="AE476" s="4">
        <f>$K$476*$Y$476</f>
        <v>0</v>
      </c>
      <c r="AF476" s="4">
        <f ca="1">$M$476*$Z$476</f>
        <v>195208.74469306544</v>
      </c>
      <c r="AG476" s="4">
        <f>$O$476*$AA$476</f>
        <v>45186.987480088399</v>
      </c>
    </row>
    <row r="477" spans="1:33" ht="11.25" customHeight="1" x14ac:dyDescent="0.25">
      <c r="A477" s="3" t="s">
        <v>27</v>
      </c>
      <c r="B477" s="3" t="s">
        <v>33</v>
      </c>
      <c r="C477" s="3" t="s">
        <v>23</v>
      </c>
      <c r="D477" s="3" t="s">
        <v>34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44501</v>
      </c>
      <c r="J477" s="4">
        <v>0</v>
      </c>
      <c r="K477" s="4">
        <v>0</v>
      </c>
      <c r="L477" s="4">
        <v>4.492</v>
      </c>
      <c r="M477" s="4">
        <v>4.492</v>
      </c>
      <c r="N477" s="4">
        <v>4.492</v>
      </c>
      <c r="O477" s="4">
        <v>4.492</v>
      </c>
      <c r="P477" s="4">
        <v>0</v>
      </c>
      <c r="Q477" s="3" t="s">
        <v>26</v>
      </c>
      <c r="R477" s="3">
        <v>0</v>
      </c>
      <c r="S477" s="4">
        <v>0</v>
      </c>
      <c r="T477" s="4">
        <v>66</v>
      </c>
      <c r="U477" s="4">
        <v>10</v>
      </c>
      <c r="V477" s="4">
        <f>IF(ISERROR(VLOOKUP($S$477,'TAR FIN'!$A$1:$O$88,15,0)),0,VLOOKUP($S$477,'TAR FIN'!$A$1:$O$88,15,0))</f>
        <v>0</v>
      </c>
      <c r="W477" s="4">
        <f>IF(ISERROR(VLOOKUP($T$477,'TAR FIN'!$A$1:$O$88,15,0)),0,VLOOKUP($T$477,'TAR FIN'!$A$1:$O$88,15,0))</f>
        <v>501.48</v>
      </c>
      <c r="X477" s="4">
        <f>IF(ISERROR(VLOOKUP($U$477,'TAR FIN'!$A$1:$O$88,15,0)),0,VLOOKUP($U$477,'TAR FIN'!$A$1:$O$88,15,0))</f>
        <v>150.26</v>
      </c>
      <c r="Y477" s="4"/>
      <c r="Z477" s="4">
        <f ca="1">('TUSD BE'!$AM$48+'TUSD BF'!$AM$48+'TUSD CVA'!$AM$48)*1</f>
        <v>590.21277757372172</v>
      </c>
      <c r="AA477" s="4">
        <f>('TE BE'!$AB$38+'TE BF'!$AB$38+'TE CVA'!$AB$38)*1</f>
        <v>136.62265710865657</v>
      </c>
      <c r="AB477" s="4">
        <f>$K$477*$V$477</f>
        <v>0</v>
      </c>
      <c r="AC477" s="4">
        <f>$M$477*$W$477</f>
        <v>2252.6481600000002</v>
      </c>
      <c r="AD477" s="4">
        <f>$O$477*$X$477</f>
        <v>674.96791999999994</v>
      </c>
      <c r="AE477" s="4">
        <f>$K$477*$Y$477</f>
        <v>0</v>
      </c>
      <c r="AF477" s="4">
        <f ca="1">$M$477*$Z$477</f>
        <v>2651.2357968611582</v>
      </c>
      <c r="AG477" s="4">
        <f>$O$477*$AA$477</f>
        <v>613.70897573208526</v>
      </c>
    </row>
    <row r="478" spans="1:33" ht="11.25" customHeight="1" x14ac:dyDescent="0.25">
      <c r="A478" s="3" t="s">
        <v>28</v>
      </c>
      <c r="B478" s="3" t="s">
        <v>33</v>
      </c>
      <c r="C478" s="3" t="s">
        <v>23</v>
      </c>
      <c r="D478" s="3" t="s">
        <v>34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44501</v>
      </c>
      <c r="J478" s="4">
        <v>0</v>
      </c>
      <c r="K478" s="4">
        <v>0</v>
      </c>
      <c r="L478" s="4">
        <v>7.4939999999999998</v>
      </c>
      <c r="M478" s="4">
        <v>7.4939999999999998</v>
      </c>
      <c r="N478" s="4">
        <v>7.4939999999999998</v>
      </c>
      <c r="O478" s="4">
        <v>7.4939999999999998</v>
      </c>
      <c r="P478" s="4">
        <v>8</v>
      </c>
      <c r="Q478" s="3" t="s">
        <v>26</v>
      </c>
      <c r="R478" s="3">
        <v>0</v>
      </c>
      <c r="S478" s="4">
        <v>0</v>
      </c>
      <c r="T478" s="4">
        <v>66</v>
      </c>
      <c r="U478" s="4">
        <v>10</v>
      </c>
      <c r="V478" s="4">
        <f>IF(ISERROR(VLOOKUP($S$478,'TAR FIN'!$A$1:$O$88,15,0)),0,VLOOKUP($S$478,'TAR FIN'!$A$1:$O$88,15,0))</f>
        <v>0</v>
      </c>
      <c r="W478" s="4">
        <f>IF(ISERROR(VLOOKUP($T$478,'TAR FIN'!$A$1:$O$88,15,0)),0,VLOOKUP($T$478,'TAR FIN'!$A$1:$O$88,15,0))</f>
        <v>501.48</v>
      </c>
      <c r="X478" s="4">
        <f>IF(ISERROR(VLOOKUP($U$478,'TAR FIN'!$A$1:$O$88,15,0)),0,VLOOKUP($U$478,'TAR FIN'!$A$1:$O$88,15,0))</f>
        <v>150.26</v>
      </c>
      <c r="Y478" s="4"/>
      <c r="Z478" s="4">
        <f ca="1">('TUSD BE'!$AM$48+'TUSD BF'!$AM$48+'TUSD CVA'!$AM$48)*1</f>
        <v>590.21277757372172</v>
      </c>
      <c r="AA478" s="4">
        <f>('TE BE'!$AB$38+'TE BF'!$AB$38+'TE CVA'!$AB$38)*1</f>
        <v>136.62265710865657</v>
      </c>
      <c r="AB478" s="4">
        <f>$K$478*$V$478</f>
        <v>0</v>
      </c>
      <c r="AC478" s="4">
        <f>$M$478*$W$478</f>
        <v>3758.09112</v>
      </c>
      <c r="AD478" s="4">
        <f>$O$478*$X$478</f>
        <v>1126.0484399999998</v>
      </c>
      <c r="AE478" s="4">
        <f>$K$478*$Y$478</f>
        <v>0</v>
      </c>
      <c r="AF478" s="4">
        <f ca="1">$M$478*$Z$478</f>
        <v>4423.0545551374707</v>
      </c>
      <c r="AG478" s="4">
        <f>$O$478*$AA$478</f>
        <v>1023.8501923722723</v>
      </c>
    </row>
    <row r="479" spans="1:33" ht="11.25" customHeight="1" x14ac:dyDescent="0.25">
      <c r="A479" s="3" t="s">
        <v>21</v>
      </c>
      <c r="B479" s="3" t="s">
        <v>33</v>
      </c>
      <c r="C479" s="3" t="s">
        <v>23</v>
      </c>
      <c r="D479" s="3" t="s">
        <v>34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44531</v>
      </c>
      <c r="J479" s="4">
        <v>0</v>
      </c>
      <c r="K479" s="4">
        <v>0</v>
      </c>
      <c r="L479" s="4">
        <v>357.19900000000001</v>
      </c>
      <c r="M479" s="4">
        <v>357.19900000000001</v>
      </c>
      <c r="N479" s="4">
        <v>357.19900000000001</v>
      </c>
      <c r="O479" s="4">
        <v>357.19900000000001</v>
      </c>
      <c r="P479" s="4">
        <v>559</v>
      </c>
      <c r="Q479" s="3" t="s">
        <v>26</v>
      </c>
      <c r="R479" s="3">
        <v>0</v>
      </c>
      <c r="S479" s="4">
        <v>0</v>
      </c>
      <c r="T479" s="4">
        <v>66</v>
      </c>
      <c r="U479" s="4">
        <v>10</v>
      </c>
      <c r="V479" s="4">
        <f>IF(ISERROR(VLOOKUP($S$479,'TAR FIN'!$A$1:$O$88,15,0)),0,VLOOKUP($S$479,'TAR FIN'!$A$1:$O$88,15,0))</f>
        <v>0</v>
      </c>
      <c r="W479" s="4">
        <f>IF(ISERROR(VLOOKUP($T$479,'TAR FIN'!$A$1:$O$88,15,0)),0,VLOOKUP($T$479,'TAR FIN'!$A$1:$O$88,15,0))</f>
        <v>501.48</v>
      </c>
      <c r="X479" s="4">
        <f>IF(ISERROR(VLOOKUP($U$479,'TAR FIN'!$A$1:$O$88,15,0)),0,VLOOKUP($U$479,'TAR FIN'!$A$1:$O$88,15,0))</f>
        <v>150.26</v>
      </c>
      <c r="Y479" s="4"/>
      <c r="Z479" s="4">
        <f ca="1">('TUSD BE'!$AM$48+'TUSD BF'!$AM$48+'TUSD CVA'!$AM$48)*1</f>
        <v>590.21277757372172</v>
      </c>
      <c r="AA479" s="4">
        <f>('TE BE'!$AB$38+'TE BF'!$AB$38+'TE CVA'!$AB$38)*1</f>
        <v>136.62265710865657</v>
      </c>
      <c r="AB479" s="4">
        <f>$K$479*$V$479</f>
        <v>0</v>
      </c>
      <c r="AC479" s="4">
        <f>$M$479*$W$479</f>
        <v>179128.15452000001</v>
      </c>
      <c r="AD479" s="4">
        <f>$O$479*$X$479</f>
        <v>53672.721740000001</v>
      </c>
      <c r="AE479" s="4">
        <f>$K$479*$Y$479</f>
        <v>0</v>
      </c>
      <c r="AF479" s="4">
        <f ca="1">$M$479*$Z$479</f>
        <v>210823.41393655582</v>
      </c>
      <c r="AG479" s="4">
        <f>$O$479*$AA$479</f>
        <v>48801.47649655502</v>
      </c>
    </row>
    <row r="480" spans="1:33" ht="11.25" customHeight="1" x14ac:dyDescent="0.25">
      <c r="A480" s="3" t="s">
        <v>28</v>
      </c>
      <c r="B480" s="3" t="s">
        <v>33</v>
      </c>
      <c r="C480" s="3" t="s">
        <v>23</v>
      </c>
      <c r="D480" s="3" t="s">
        <v>34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44531</v>
      </c>
      <c r="J480" s="4">
        <v>0</v>
      </c>
      <c r="K480" s="4">
        <v>0</v>
      </c>
      <c r="L480" s="4">
        <v>4.8369999999999997</v>
      </c>
      <c r="M480" s="4">
        <v>4.8369999999999997</v>
      </c>
      <c r="N480" s="4">
        <v>4.8369999999999997</v>
      </c>
      <c r="O480" s="4">
        <v>4.8369999999999997</v>
      </c>
      <c r="P480" s="4">
        <v>8</v>
      </c>
      <c r="Q480" s="3" t="s">
        <v>26</v>
      </c>
      <c r="R480" s="3">
        <v>0</v>
      </c>
      <c r="S480" s="4">
        <v>0</v>
      </c>
      <c r="T480" s="4">
        <v>66</v>
      </c>
      <c r="U480" s="4">
        <v>10</v>
      </c>
      <c r="V480" s="4">
        <f>IF(ISERROR(VLOOKUP($S$480,'TAR FIN'!$A$1:$O$88,15,0)),0,VLOOKUP($S$480,'TAR FIN'!$A$1:$O$88,15,0))</f>
        <v>0</v>
      </c>
      <c r="W480" s="4">
        <f>IF(ISERROR(VLOOKUP($T$480,'TAR FIN'!$A$1:$O$88,15,0)),0,VLOOKUP($T$480,'TAR FIN'!$A$1:$O$88,15,0))</f>
        <v>501.48</v>
      </c>
      <c r="X480" s="4">
        <f>IF(ISERROR(VLOOKUP($U$480,'TAR FIN'!$A$1:$O$88,15,0)),0,VLOOKUP($U$480,'TAR FIN'!$A$1:$O$88,15,0))</f>
        <v>150.26</v>
      </c>
      <c r="Y480" s="4"/>
      <c r="Z480" s="4">
        <f ca="1">('TUSD BE'!$AM$48+'TUSD BF'!$AM$48+'TUSD CVA'!$AM$48)*1</f>
        <v>590.21277757372172</v>
      </c>
      <c r="AA480" s="4">
        <f>('TE BE'!$AB$38+'TE BF'!$AB$38+'TE CVA'!$AB$38)*1</f>
        <v>136.62265710865657</v>
      </c>
      <c r="AB480" s="4">
        <f>$K$480*$V$480</f>
        <v>0</v>
      </c>
      <c r="AC480" s="4">
        <f>$M$480*$W$480</f>
        <v>2425.6587599999998</v>
      </c>
      <c r="AD480" s="4">
        <f>$O$480*$X$480</f>
        <v>726.80761999999993</v>
      </c>
      <c r="AE480" s="4">
        <f>$K$480*$Y$480</f>
        <v>0</v>
      </c>
      <c r="AF480" s="4">
        <f ca="1">$M$480*$Z$480</f>
        <v>2854.8592051240917</v>
      </c>
      <c r="AG480" s="4">
        <f>$O$480*$AA$480</f>
        <v>660.84379243457181</v>
      </c>
    </row>
    <row r="481" spans="1:33" ht="11.25" customHeight="1" x14ac:dyDescent="0.25">
      <c r="A481" s="3" t="s">
        <v>21</v>
      </c>
      <c r="B481" s="3" t="s">
        <v>33</v>
      </c>
      <c r="C481" s="3" t="s">
        <v>23</v>
      </c>
      <c r="D481" s="3" t="s">
        <v>34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44562</v>
      </c>
      <c r="J481" s="4">
        <v>0</v>
      </c>
      <c r="K481" s="4">
        <v>0</v>
      </c>
      <c r="L481" s="4">
        <v>375.02499999999998</v>
      </c>
      <c r="M481" s="4">
        <v>375.02499999999998</v>
      </c>
      <c r="N481" s="4">
        <v>375.02499999999998</v>
      </c>
      <c r="O481" s="4">
        <v>375.02499999999998</v>
      </c>
      <c r="P481" s="4">
        <v>559</v>
      </c>
      <c r="Q481" s="3" t="s">
        <v>26</v>
      </c>
      <c r="R481" s="3">
        <v>0</v>
      </c>
      <c r="S481" s="4">
        <v>0</v>
      </c>
      <c r="T481" s="4">
        <v>66</v>
      </c>
      <c r="U481" s="4">
        <v>10</v>
      </c>
      <c r="V481" s="4">
        <f>IF(ISERROR(VLOOKUP($S$481,'TAR FIN'!$A$1:$O$88,15,0)),0,VLOOKUP($S$481,'TAR FIN'!$A$1:$O$88,15,0))</f>
        <v>0</v>
      </c>
      <c r="W481" s="4">
        <f>IF(ISERROR(VLOOKUP($T$481,'TAR FIN'!$A$1:$O$88,15,0)),0,VLOOKUP($T$481,'TAR FIN'!$A$1:$O$88,15,0))</f>
        <v>501.48</v>
      </c>
      <c r="X481" s="4">
        <f>IF(ISERROR(VLOOKUP($U$481,'TAR FIN'!$A$1:$O$88,15,0)),0,VLOOKUP($U$481,'TAR FIN'!$A$1:$O$88,15,0))</f>
        <v>150.26</v>
      </c>
      <c r="Y481" s="4"/>
      <c r="Z481" s="4">
        <f ca="1">('TUSD BE'!$AM$48+'TUSD BF'!$AM$48+'TUSD CVA'!$AM$48)*1</f>
        <v>590.21277757372172</v>
      </c>
      <c r="AA481" s="4">
        <f>('TE BE'!$AB$38+'TE BF'!$AB$38+'TE CVA'!$AB$38)*1</f>
        <v>136.62265710865657</v>
      </c>
      <c r="AB481" s="4">
        <f>$K$481*$V$481</f>
        <v>0</v>
      </c>
      <c r="AC481" s="4">
        <f>$M$481*$W$481</f>
        <v>188067.53699999998</v>
      </c>
      <c r="AD481" s="4">
        <f>$O$481*$X$481</f>
        <v>56351.256499999996</v>
      </c>
      <c r="AE481" s="4">
        <f>$K$481*$Y$481</f>
        <v>0</v>
      </c>
      <c r="AF481" s="4">
        <f ca="1">$M$481*$Z$481</f>
        <v>221344.54690958498</v>
      </c>
      <c r="AG481" s="4">
        <f>$O$481*$AA$481</f>
        <v>51236.91198217393</v>
      </c>
    </row>
    <row r="482" spans="1:33" ht="11.25" customHeight="1" x14ac:dyDescent="0.25">
      <c r="A482" s="3" t="s">
        <v>27</v>
      </c>
      <c r="B482" s="3" t="s">
        <v>33</v>
      </c>
      <c r="C482" s="3" t="s">
        <v>23</v>
      </c>
      <c r="D482" s="3" t="s">
        <v>34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44562</v>
      </c>
      <c r="J482" s="4">
        <v>0</v>
      </c>
      <c r="K482" s="4">
        <v>0</v>
      </c>
      <c r="L482" s="4">
        <v>-0.56399999999999995</v>
      </c>
      <c r="M482" s="4">
        <v>-0.56399999999999995</v>
      </c>
      <c r="N482" s="4">
        <v>-0.56399999999999995</v>
      </c>
      <c r="O482" s="4">
        <v>-0.56399999999999995</v>
      </c>
      <c r="P482" s="4">
        <v>0</v>
      </c>
      <c r="Q482" s="3" t="s">
        <v>26</v>
      </c>
      <c r="R482" s="3">
        <v>0</v>
      </c>
      <c r="S482" s="4">
        <v>0</v>
      </c>
      <c r="T482" s="4">
        <v>66</v>
      </c>
      <c r="U482" s="4">
        <v>10</v>
      </c>
      <c r="V482" s="4">
        <f>IF(ISERROR(VLOOKUP($S$482,'TAR FIN'!$A$1:$O$88,15,0)),0,VLOOKUP($S$482,'TAR FIN'!$A$1:$O$88,15,0))</f>
        <v>0</v>
      </c>
      <c r="W482" s="4">
        <f>IF(ISERROR(VLOOKUP($T$482,'TAR FIN'!$A$1:$O$88,15,0)),0,VLOOKUP($T$482,'TAR FIN'!$A$1:$O$88,15,0))</f>
        <v>501.48</v>
      </c>
      <c r="X482" s="4">
        <f>IF(ISERROR(VLOOKUP($U$482,'TAR FIN'!$A$1:$O$88,15,0)),0,VLOOKUP($U$482,'TAR FIN'!$A$1:$O$88,15,0))</f>
        <v>150.26</v>
      </c>
      <c r="Y482" s="4"/>
      <c r="Z482" s="4">
        <f ca="1">('TUSD BE'!$AM$48+'TUSD BF'!$AM$48+'TUSD CVA'!$AM$48)*1</f>
        <v>590.21277757372172</v>
      </c>
      <c r="AA482" s="4">
        <f>('TE BE'!$AB$38+'TE BF'!$AB$38+'TE CVA'!$AB$38)*1</f>
        <v>136.62265710865657</v>
      </c>
      <c r="AB482" s="4">
        <f>$K$482*$V$482</f>
        <v>0</v>
      </c>
      <c r="AC482" s="4">
        <f>$M$482*$W$482</f>
        <v>-282.83472</v>
      </c>
      <c r="AD482" s="4">
        <f>$O$482*$X$482</f>
        <v>-84.746639999999985</v>
      </c>
      <c r="AE482" s="4">
        <f>$K$482*$Y$482</f>
        <v>0</v>
      </c>
      <c r="AF482" s="4">
        <f ca="1">$M$482*$Z$482</f>
        <v>-332.88000655157902</v>
      </c>
      <c r="AG482" s="4">
        <f>$O$482*$AA$482</f>
        <v>-77.055178609282294</v>
      </c>
    </row>
    <row r="483" spans="1:33" ht="11.25" customHeight="1" x14ac:dyDescent="0.25">
      <c r="A483" s="3" t="s">
        <v>28</v>
      </c>
      <c r="B483" s="3" t="s">
        <v>33</v>
      </c>
      <c r="C483" s="3" t="s">
        <v>23</v>
      </c>
      <c r="D483" s="3" t="s">
        <v>34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44562</v>
      </c>
      <c r="J483" s="4">
        <v>0</v>
      </c>
      <c r="K483" s="4">
        <v>0</v>
      </c>
      <c r="L483" s="4">
        <v>0.9</v>
      </c>
      <c r="M483" s="4">
        <v>0.9</v>
      </c>
      <c r="N483" s="4">
        <v>0.9</v>
      </c>
      <c r="O483" s="4">
        <v>0.9</v>
      </c>
      <c r="P483" s="4">
        <v>9</v>
      </c>
      <c r="Q483" s="3" t="s">
        <v>26</v>
      </c>
      <c r="R483" s="3">
        <v>0</v>
      </c>
      <c r="S483" s="4">
        <v>0</v>
      </c>
      <c r="T483" s="4">
        <v>66</v>
      </c>
      <c r="U483" s="4">
        <v>10</v>
      </c>
      <c r="V483" s="4">
        <f>IF(ISERROR(VLOOKUP($S$483,'TAR FIN'!$A$1:$O$88,15,0)),0,VLOOKUP($S$483,'TAR FIN'!$A$1:$O$88,15,0))</f>
        <v>0</v>
      </c>
      <c r="W483" s="4">
        <f>IF(ISERROR(VLOOKUP($T$483,'TAR FIN'!$A$1:$O$88,15,0)),0,VLOOKUP($T$483,'TAR FIN'!$A$1:$O$88,15,0))</f>
        <v>501.48</v>
      </c>
      <c r="X483" s="4">
        <f>IF(ISERROR(VLOOKUP($U$483,'TAR FIN'!$A$1:$O$88,15,0)),0,VLOOKUP($U$483,'TAR FIN'!$A$1:$O$88,15,0))</f>
        <v>150.26</v>
      </c>
      <c r="Y483" s="4"/>
      <c r="Z483" s="4">
        <f ca="1">('TUSD BE'!$AM$48+'TUSD BF'!$AM$48+'TUSD CVA'!$AM$48)*1</f>
        <v>590.21277757372172</v>
      </c>
      <c r="AA483" s="4">
        <f>('TE BE'!$AB$38+'TE BF'!$AB$38+'TE CVA'!$AB$38)*1</f>
        <v>136.62265710865657</v>
      </c>
      <c r="AB483" s="4">
        <f>$K$483*$V$483</f>
        <v>0</v>
      </c>
      <c r="AC483" s="4">
        <f>$M$483*$W$483</f>
        <v>451.33200000000005</v>
      </c>
      <c r="AD483" s="4">
        <f>$O$483*$X$483</f>
        <v>135.23400000000001</v>
      </c>
      <c r="AE483" s="4">
        <f>$K$483*$Y$483</f>
        <v>0</v>
      </c>
      <c r="AF483" s="4">
        <f ca="1">$M$483*$Z$483</f>
        <v>531.19149981634962</v>
      </c>
      <c r="AG483" s="4">
        <f>$O$483*$AA$483</f>
        <v>122.96039139779091</v>
      </c>
    </row>
    <row r="484" spans="1:33" ht="11.25" customHeight="1" x14ac:dyDescent="0.25">
      <c r="A484" s="3" t="s">
        <v>21</v>
      </c>
      <c r="B484" s="3" t="s">
        <v>33</v>
      </c>
      <c r="C484" s="3" t="s">
        <v>23</v>
      </c>
      <c r="D484" s="3" t="s">
        <v>34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44593</v>
      </c>
      <c r="J484" s="4">
        <v>0</v>
      </c>
      <c r="K484" s="4">
        <v>0</v>
      </c>
      <c r="L484" s="4">
        <v>433.52</v>
      </c>
      <c r="M484" s="4">
        <v>433.52</v>
      </c>
      <c r="N484" s="4">
        <v>433.52</v>
      </c>
      <c r="O484" s="4">
        <v>433.52</v>
      </c>
      <c r="P484" s="4">
        <v>562</v>
      </c>
      <c r="Q484" s="3" t="s">
        <v>26</v>
      </c>
      <c r="R484" s="3">
        <v>0</v>
      </c>
      <c r="S484" s="4">
        <v>0</v>
      </c>
      <c r="T484" s="4">
        <v>66</v>
      </c>
      <c r="U484" s="4">
        <v>10</v>
      </c>
      <c r="V484" s="4">
        <f>IF(ISERROR(VLOOKUP($S$484,'TAR FIN'!$A$1:$O$88,15,0)),0,VLOOKUP($S$484,'TAR FIN'!$A$1:$O$88,15,0))</f>
        <v>0</v>
      </c>
      <c r="W484" s="4">
        <f>IF(ISERROR(VLOOKUP($T$484,'TAR FIN'!$A$1:$O$88,15,0)),0,VLOOKUP($T$484,'TAR FIN'!$A$1:$O$88,15,0))</f>
        <v>501.48</v>
      </c>
      <c r="X484" s="4">
        <f>IF(ISERROR(VLOOKUP($U$484,'TAR FIN'!$A$1:$O$88,15,0)),0,VLOOKUP($U$484,'TAR FIN'!$A$1:$O$88,15,0))</f>
        <v>150.26</v>
      </c>
      <c r="Y484" s="4"/>
      <c r="Z484" s="4">
        <f ca="1">('TUSD BE'!$AM$48+'TUSD BF'!$AM$48+'TUSD CVA'!$AM$48)*1</f>
        <v>590.21277757372172</v>
      </c>
      <c r="AA484" s="4">
        <f>('TE BE'!$AB$38+'TE BF'!$AB$38+'TE CVA'!$AB$38)*1</f>
        <v>136.62265710865657</v>
      </c>
      <c r="AB484" s="4">
        <f>$K$484*$V$484</f>
        <v>0</v>
      </c>
      <c r="AC484" s="4">
        <f>$M$484*$W$484</f>
        <v>217401.6096</v>
      </c>
      <c r="AD484" s="4">
        <f>$O$484*$X$484</f>
        <v>65140.715199999991</v>
      </c>
      <c r="AE484" s="4">
        <f>$K$484*$Y$484</f>
        <v>0</v>
      </c>
      <c r="AF484" s="4">
        <f ca="1">$M$484*$Z$484</f>
        <v>255869.04333375982</v>
      </c>
      <c r="AG484" s="4">
        <f>$O$484*$AA$484</f>
        <v>59228.654309744794</v>
      </c>
    </row>
    <row r="485" spans="1:33" ht="11.25" customHeight="1" x14ac:dyDescent="0.25">
      <c r="A485" s="3" t="s">
        <v>27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44593</v>
      </c>
      <c r="J485" s="4">
        <v>0</v>
      </c>
      <c r="K485" s="4">
        <v>0</v>
      </c>
      <c r="L485" s="4">
        <v>-0.42799999999999999</v>
      </c>
      <c r="M485" s="4">
        <v>-0.42799999999999999</v>
      </c>
      <c r="N485" s="4">
        <v>-0.42799999999999999</v>
      </c>
      <c r="O485" s="4">
        <v>-0.42799999999999999</v>
      </c>
      <c r="P485" s="4">
        <v>0</v>
      </c>
      <c r="Q485" s="3" t="s">
        <v>26</v>
      </c>
      <c r="R485" s="3">
        <v>0</v>
      </c>
      <c r="S485" s="4">
        <v>0</v>
      </c>
      <c r="T485" s="4">
        <v>66</v>
      </c>
      <c r="U485" s="4">
        <v>10</v>
      </c>
      <c r="V485" s="4">
        <f>IF(ISERROR(VLOOKUP($S$485,'TAR FIN'!$A$1:$O$88,15,0)),0,VLOOKUP($S$485,'TAR FIN'!$A$1:$O$88,15,0))</f>
        <v>0</v>
      </c>
      <c r="W485" s="4">
        <f>IF(ISERROR(VLOOKUP($T$485,'TAR FIN'!$A$1:$O$88,15,0)),0,VLOOKUP($T$485,'TAR FIN'!$A$1:$O$88,15,0))</f>
        <v>501.48</v>
      </c>
      <c r="X485" s="4">
        <f>IF(ISERROR(VLOOKUP($U$485,'TAR FIN'!$A$1:$O$88,15,0)),0,VLOOKUP($U$485,'TAR FIN'!$A$1:$O$88,15,0))</f>
        <v>150.26</v>
      </c>
      <c r="Y485" s="4"/>
      <c r="Z485" s="4">
        <f ca="1">('TUSD BE'!$AM$48+'TUSD BF'!$AM$48+'TUSD CVA'!$AM$48)*1</f>
        <v>590.21277757372172</v>
      </c>
      <c r="AA485" s="4">
        <f>('TE BE'!$AB$38+'TE BF'!$AB$38+'TE CVA'!$AB$38)*1</f>
        <v>136.62265710865657</v>
      </c>
      <c r="AB485" s="4">
        <f>$K$485*$V$485</f>
        <v>0</v>
      </c>
      <c r="AC485" s="4">
        <f>$M$485*$W$485</f>
        <v>-214.63344000000001</v>
      </c>
      <c r="AD485" s="4">
        <f>$O$485*$X$485</f>
        <v>-64.311279999999996</v>
      </c>
      <c r="AE485" s="4">
        <f>$K$485*$Y$485</f>
        <v>0</v>
      </c>
      <c r="AF485" s="4">
        <f ca="1">$M$485*$Z$485</f>
        <v>-252.6110688015529</v>
      </c>
      <c r="AG485" s="4">
        <f>$O$485*$AA$485</f>
        <v>-58.474497242505009</v>
      </c>
    </row>
    <row r="486" spans="1:3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44593</v>
      </c>
      <c r="J486" s="4">
        <v>0</v>
      </c>
      <c r="K486" s="4">
        <v>0</v>
      </c>
      <c r="L486" s="4">
        <v>0.9</v>
      </c>
      <c r="M486" s="4">
        <v>0.9</v>
      </c>
      <c r="N486" s="4">
        <v>0.9</v>
      </c>
      <c r="O486" s="4">
        <v>0.9</v>
      </c>
      <c r="P486" s="4">
        <v>9</v>
      </c>
      <c r="Q486" s="3" t="s">
        <v>26</v>
      </c>
      <c r="R486" s="3">
        <v>0</v>
      </c>
      <c r="S486" s="4">
        <v>0</v>
      </c>
      <c r="T486" s="4">
        <v>66</v>
      </c>
      <c r="U486" s="4">
        <v>10</v>
      </c>
      <c r="V486" s="4">
        <f>IF(ISERROR(VLOOKUP($S$486,'TAR FIN'!$A$1:$O$88,15,0)),0,VLOOKUP($S$486,'TAR FIN'!$A$1:$O$88,15,0))</f>
        <v>0</v>
      </c>
      <c r="W486" s="4">
        <f>IF(ISERROR(VLOOKUP($T$486,'TAR FIN'!$A$1:$O$88,15,0)),0,VLOOKUP($T$486,'TAR FIN'!$A$1:$O$88,15,0))</f>
        <v>501.48</v>
      </c>
      <c r="X486" s="4">
        <f>IF(ISERROR(VLOOKUP($U$486,'TAR FIN'!$A$1:$O$88,15,0)),0,VLOOKUP($U$486,'TAR FIN'!$A$1:$O$88,15,0))</f>
        <v>150.26</v>
      </c>
      <c r="Y486" s="4"/>
      <c r="Z486" s="4">
        <f ca="1">('TUSD BE'!$AM$48+'TUSD BF'!$AM$48+'TUSD CVA'!$AM$48)*1</f>
        <v>590.21277757372172</v>
      </c>
      <c r="AA486" s="4">
        <f>('TE BE'!$AB$38+'TE BF'!$AB$38+'TE CVA'!$AB$38)*1</f>
        <v>136.62265710865657</v>
      </c>
      <c r="AB486" s="4">
        <f>$K$486*$V$486</f>
        <v>0</v>
      </c>
      <c r="AC486" s="4">
        <f>$M$486*$W$486</f>
        <v>451.33200000000005</v>
      </c>
      <c r="AD486" s="4">
        <f>$O$486*$X$486</f>
        <v>135.23400000000001</v>
      </c>
      <c r="AE486" s="4">
        <f>$K$486*$Y$486</f>
        <v>0</v>
      </c>
      <c r="AF486" s="4">
        <f ca="1">$M$486*$Z$486</f>
        <v>531.19149981634962</v>
      </c>
      <c r="AG486" s="4">
        <f>$O$486*$AA$486</f>
        <v>122.96039139779091</v>
      </c>
    </row>
    <row r="487" spans="1:3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44621</v>
      </c>
      <c r="J487" s="4">
        <v>0</v>
      </c>
      <c r="K487" s="4">
        <v>0</v>
      </c>
      <c r="L487" s="4">
        <v>388.375</v>
      </c>
      <c r="M487" s="4">
        <v>388.375</v>
      </c>
      <c r="N487" s="4">
        <v>388.375</v>
      </c>
      <c r="O487" s="4">
        <v>388.375</v>
      </c>
      <c r="P487" s="4">
        <v>562</v>
      </c>
      <c r="Q487" s="3" t="s">
        <v>26</v>
      </c>
      <c r="R487" s="3">
        <v>0</v>
      </c>
      <c r="S487" s="4">
        <v>0</v>
      </c>
      <c r="T487" s="4">
        <v>66</v>
      </c>
      <c r="U487" s="4">
        <v>10</v>
      </c>
      <c r="V487" s="4">
        <f>IF(ISERROR(VLOOKUP($S$487,'TAR FIN'!$A$1:$O$88,15,0)),0,VLOOKUP($S$487,'TAR FIN'!$A$1:$O$88,15,0))</f>
        <v>0</v>
      </c>
      <c r="W487" s="4">
        <f>IF(ISERROR(VLOOKUP($T$487,'TAR FIN'!$A$1:$O$88,15,0)),0,VLOOKUP($T$487,'TAR FIN'!$A$1:$O$88,15,0))</f>
        <v>501.48</v>
      </c>
      <c r="X487" s="4">
        <f>IF(ISERROR(VLOOKUP($U$487,'TAR FIN'!$A$1:$O$88,15,0)),0,VLOOKUP($U$487,'TAR FIN'!$A$1:$O$88,15,0))</f>
        <v>150.26</v>
      </c>
      <c r="Y487" s="4"/>
      <c r="Z487" s="4">
        <f ca="1">('TUSD BE'!$AM$48+'TUSD BF'!$AM$48+'TUSD CVA'!$AM$48)*1</f>
        <v>590.21277757372172</v>
      </c>
      <c r="AA487" s="4">
        <f>('TE BE'!$AB$38+'TE BF'!$AB$38+'TE CVA'!$AB$38)*1</f>
        <v>136.62265710865657</v>
      </c>
      <c r="AB487" s="4">
        <f>$K$487*$V$487</f>
        <v>0</v>
      </c>
      <c r="AC487" s="4">
        <f>$M$487*$W$487</f>
        <v>194762.29500000001</v>
      </c>
      <c r="AD487" s="4">
        <f>$O$487*$X$487</f>
        <v>58357.227499999994</v>
      </c>
      <c r="AE487" s="4">
        <f>$K$487*$Y$487</f>
        <v>0</v>
      </c>
      <c r="AF487" s="4">
        <f ca="1">$M$487*$Z$487</f>
        <v>229223.88749019417</v>
      </c>
      <c r="AG487" s="4">
        <f>$O$487*$AA$487</f>
        <v>53060.824454574496</v>
      </c>
    </row>
    <row r="488" spans="1:33" ht="11.25" customHeight="1" x14ac:dyDescent="0.25">
      <c r="A488" s="3" t="s">
        <v>27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44621</v>
      </c>
      <c r="J488" s="4">
        <v>0</v>
      </c>
      <c r="K488" s="4">
        <v>0</v>
      </c>
      <c r="L488" s="4">
        <v>-12.153</v>
      </c>
      <c r="M488" s="4">
        <v>-12.153</v>
      </c>
      <c r="N488" s="4">
        <v>-12.153</v>
      </c>
      <c r="O488" s="4">
        <v>-12.153</v>
      </c>
      <c r="P488" s="4">
        <v>0</v>
      </c>
      <c r="Q488" s="3" t="s">
        <v>26</v>
      </c>
      <c r="R488" s="3">
        <v>0</v>
      </c>
      <c r="S488" s="4">
        <v>0</v>
      </c>
      <c r="T488" s="4">
        <v>66</v>
      </c>
      <c r="U488" s="4">
        <v>10</v>
      </c>
      <c r="V488" s="4">
        <f>IF(ISERROR(VLOOKUP($S$488,'TAR FIN'!$A$1:$O$88,15,0)),0,VLOOKUP($S$488,'TAR FIN'!$A$1:$O$88,15,0))</f>
        <v>0</v>
      </c>
      <c r="W488" s="4">
        <f>IF(ISERROR(VLOOKUP($T$488,'TAR FIN'!$A$1:$O$88,15,0)),0,VLOOKUP($T$488,'TAR FIN'!$A$1:$O$88,15,0))</f>
        <v>501.48</v>
      </c>
      <c r="X488" s="4">
        <f>IF(ISERROR(VLOOKUP($U$488,'TAR FIN'!$A$1:$O$88,15,0)),0,VLOOKUP($U$488,'TAR FIN'!$A$1:$O$88,15,0))</f>
        <v>150.26</v>
      </c>
      <c r="Y488" s="4"/>
      <c r="Z488" s="4">
        <f ca="1">('TUSD BE'!$AM$48+'TUSD BF'!$AM$48+'TUSD CVA'!$AM$48)*1</f>
        <v>590.21277757372172</v>
      </c>
      <c r="AA488" s="4">
        <f>('TE BE'!$AB$38+'TE BF'!$AB$38+'TE CVA'!$AB$38)*1</f>
        <v>136.62265710865657</v>
      </c>
      <c r="AB488" s="4">
        <f>$K$488*$V$488</f>
        <v>0</v>
      </c>
      <c r="AC488" s="4">
        <f>$M$488*$W$488</f>
        <v>-6094.4864400000006</v>
      </c>
      <c r="AD488" s="4">
        <f>$O$488*$X$488</f>
        <v>-1826.10978</v>
      </c>
      <c r="AE488" s="4">
        <f>$K$488*$Y$488</f>
        <v>0</v>
      </c>
      <c r="AF488" s="4">
        <f ca="1">$M$488*$Z$488</f>
        <v>-7172.8558858534407</v>
      </c>
      <c r="AG488" s="4">
        <f>$O$488*$AA$488</f>
        <v>-1660.3751518415033</v>
      </c>
    </row>
    <row r="489" spans="1:33" ht="11.25" customHeight="1" x14ac:dyDescent="0.25">
      <c r="A489" s="3" t="s">
        <v>28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44621</v>
      </c>
      <c r="J489" s="4">
        <v>0</v>
      </c>
      <c r="K489" s="4">
        <v>0</v>
      </c>
      <c r="L489" s="4">
        <v>3.2440000000000002</v>
      </c>
      <c r="M489" s="4">
        <v>3.2440000000000002</v>
      </c>
      <c r="N489" s="4">
        <v>3.2440000000000002</v>
      </c>
      <c r="O489" s="4">
        <v>3.2440000000000002</v>
      </c>
      <c r="P489" s="4">
        <v>9</v>
      </c>
      <c r="Q489" s="3" t="s">
        <v>26</v>
      </c>
      <c r="R489" s="3">
        <v>0</v>
      </c>
      <c r="S489" s="4">
        <v>0</v>
      </c>
      <c r="T489" s="4">
        <v>66</v>
      </c>
      <c r="U489" s="4">
        <v>10</v>
      </c>
      <c r="V489" s="4">
        <f>IF(ISERROR(VLOOKUP($S$489,'TAR FIN'!$A$1:$O$88,15,0)),0,VLOOKUP($S$489,'TAR FIN'!$A$1:$O$88,15,0))</f>
        <v>0</v>
      </c>
      <c r="W489" s="4">
        <f>IF(ISERROR(VLOOKUP($T$489,'TAR FIN'!$A$1:$O$88,15,0)),0,VLOOKUP($T$489,'TAR FIN'!$A$1:$O$88,15,0))</f>
        <v>501.48</v>
      </c>
      <c r="X489" s="4">
        <f>IF(ISERROR(VLOOKUP($U$489,'TAR FIN'!$A$1:$O$88,15,0)),0,VLOOKUP($U$489,'TAR FIN'!$A$1:$O$88,15,0))</f>
        <v>150.26</v>
      </c>
      <c r="Y489" s="4"/>
      <c r="Z489" s="4">
        <f ca="1">('TUSD BE'!$AM$48+'TUSD BF'!$AM$48+'TUSD CVA'!$AM$48)*1</f>
        <v>590.21277757372172</v>
      </c>
      <c r="AA489" s="4">
        <f>('TE BE'!$AB$38+'TE BF'!$AB$38+'TE CVA'!$AB$38)*1</f>
        <v>136.62265710865657</v>
      </c>
      <c r="AB489" s="4">
        <f>$K$489*$V$489</f>
        <v>0</v>
      </c>
      <c r="AC489" s="4">
        <f>$M$489*$W$489</f>
        <v>1626.8011200000001</v>
      </c>
      <c r="AD489" s="4">
        <f>$O$489*$X$489</f>
        <v>487.44344000000001</v>
      </c>
      <c r="AE489" s="4">
        <f>$K$489*$Y$489</f>
        <v>0</v>
      </c>
      <c r="AF489" s="4">
        <f ca="1">$M$489*$Z$489</f>
        <v>1914.6502504491534</v>
      </c>
      <c r="AG489" s="4">
        <f>$O$489*$AA$489</f>
        <v>443.20389966048197</v>
      </c>
    </row>
    <row r="490" spans="1:33" ht="11.25" customHeight="1" x14ac:dyDescent="0.25">
      <c r="A490" s="3" t="s">
        <v>21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44652</v>
      </c>
      <c r="J490" s="4">
        <v>0</v>
      </c>
      <c r="K490" s="4">
        <v>0</v>
      </c>
      <c r="L490" s="4">
        <v>372.767</v>
      </c>
      <c r="M490" s="4">
        <v>372.767</v>
      </c>
      <c r="N490" s="4">
        <v>372.767</v>
      </c>
      <c r="O490" s="4">
        <v>372.767</v>
      </c>
      <c r="P490" s="4">
        <v>566</v>
      </c>
      <c r="Q490" s="3" t="s">
        <v>26</v>
      </c>
      <c r="R490" s="3">
        <v>0</v>
      </c>
      <c r="S490" s="4">
        <v>0</v>
      </c>
      <c r="T490" s="4">
        <v>66</v>
      </c>
      <c r="U490" s="4">
        <v>10</v>
      </c>
      <c r="V490" s="4">
        <f>IF(ISERROR(VLOOKUP($S$490,'TAR FIN'!$A$1:$O$88,15,0)),0,VLOOKUP($S$490,'TAR FIN'!$A$1:$O$88,15,0))</f>
        <v>0</v>
      </c>
      <c r="W490" s="4">
        <f>IF(ISERROR(VLOOKUP($T$490,'TAR FIN'!$A$1:$O$88,15,0)),0,VLOOKUP($T$490,'TAR FIN'!$A$1:$O$88,15,0))</f>
        <v>501.48</v>
      </c>
      <c r="X490" s="4">
        <f>IF(ISERROR(VLOOKUP($U$490,'TAR FIN'!$A$1:$O$88,15,0)),0,VLOOKUP($U$490,'TAR FIN'!$A$1:$O$88,15,0))</f>
        <v>150.26</v>
      </c>
      <c r="Y490" s="4"/>
      <c r="Z490" s="4">
        <f ca="1">('TUSD BE'!$AM$48+'TUSD BF'!$AM$48+'TUSD CVA'!$AM$48)*1</f>
        <v>590.21277757372172</v>
      </c>
      <c r="AA490" s="4">
        <f>('TE BE'!$AB$38+'TE BF'!$AB$38+'TE CVA'!$AB$38)*1</f>
        <v>136.62265710865657</v>
      </c>
      <c r="AB490" s="4">
        <f>$K$490*$V$490</f>
        <v>0</v>
      </c>
      <c r="AC490" s="4">
        <f>$M$490*$W$490</f>
        <v>186935.19516</v>
      </c>
      <c r="AD490" s="4">
        <f>$O$490*$X$490</f>
        <v>56011.969419999994</v>
      </c>
      <c r="AE490" s="4">
        <f>$K$490*$Y$490</f>
        <v>0</v>
      </c>
      <c r="AF490" s="4">
        <f ca="1">$M$490*$Z$490</f>
        <v>220011.84645782353</v>
      </c>
      <c r="AG490" s="4">
        <f>$O$490*$AA$490</f>
        <v>50928.418022422586</v>
      </c>
    </row>
    <row r="491" spans="1:33" ht="11.25" customHeight="1" x14ac:dyDescent="0.25">
      <c r="A491" s="3" t="s">
        <v>27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44652</v>
      </c>
      <c r="J491" s="4">
        <v>0</v>
      </c>
      <c r="K491" s="4">
        <v>0</v>
      </c>
      <c r="L491" s="4">
        <v>-0.17499999999999999</v>
      </c>
      <c r="M491" s="4">
        <v>-0.17499999999999999</v>
      </c>
      <c r="N491" s="4">
        <v>-0.17499999999999999</v>
      </c>
      <c r="O491" s="4">
        <v>-0.17499999999999999</v>
      </c>
      <c r="P491" s="4">
        <v>0</v>
      </c>
      <c r="Q491" s="3" t="s">
        <v>26</v>
      </c>
      <c r="R491" s="3">
        <v>0</v>
      </c>
      <c r="S491" s="4">
        <v>0</v>
      </c>
      <c r="T491" s="4">
        <v>66</v>
      </c>
      <c r="U491" s="4">
        <v>10</v>
      </c>
      <c r="V491" s="4">
        <f>IF(ISERROR(VLOOKUP($S$491,'TAR FIN'!$A$1:$O$88,15,0)),0,VLOOKUP($S$491,'TAR FIN'!$A$1:$O$88,15,0))</f>
        <v>0</v>
      </c>
      <c r="W491" s="4">
        <f>IF(ISERROR(VLOOKUP($T$491,'TAR FIN'!$A$1:$O$88,15,0)),0,VLOOKUP($T$491,'TAR FIN'!$A$1:$O$88,15,0))</f>
        <v>501.48</v>
      </c>
      <c r="X491" s="4">
        <f>IF(ISERROR(VLOOKUP($U$491,'TAR FIN'!$A$1:$O$88,15,0)),0,VLOOKUP($U$491,'TAR FIN'!$A$1:$O$88,15,0))</f>
        <v>150.26</v>
      </c>
      <c r="Y491" s="4"/>
      <c r="Z491" s="4">
        <f ca="1">('TUSD BE'!$AM$48+'TUSD BF'!$AM$48+'TUSD CVA'!$AM$48)*1</f>
        <v>590.21277757372172</v>
      </c>
      <c r="AA491" s="4">
        <f>('TE BE'!$AB$38+'TE BF'!$AB$38+'TE CVA'!$AB$38)*1</f>
        <v>136.62265710865657</v>
      </c>
      <c r="AB491" s="4">
        <f>$K$491*$V$491</f>
        <v>0</v>
      </c>
      <c r="AC491" s="4">
        <f>$M$491*$W$491</f>
        <v>-87.759</v>
      </c>
      <c r="AD491" s="4">
        <f>$O$491*$X$491</f>
        <v>-26.295499999999997</v>
      </c>
      <c r="AE491" s="4">
        <f>$K$491*$Y$491</f>
        <v>0</v>
      </c>
      <c r="AF491" s="4">
        <f ca="1">$M$491*$Z$491</f>
        <v>-103.2872360754013</v>
      </c>
      <c r="AG491" s="4">
        <f>$O$491*$AA$491</f>
        <v>-23.908964994014898</v>
      </c>
    </row>
    <row r="492" spans="1:33" ht="11.25" customHeight="1" x14ac:dyDescent="0.25">
      <c r="A492" s="3" t="s">
        <v>28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4.6829999999999998</v>
      </c>
      <c r="M492" s="4">
        <v>4.6829999999999998</v>
      </c>
      <c r="N492" s="4">
        <v>4.6829999999999998</v>
      </c>
      <c r="O492" s="4">
        <v>4.6829999999999998</v>
      </c>
      <c r="P492" s="4">
        <v>9</v>
      </c>
      <c r="Q492" s="3" t="s">
        <v>26</v>
      </c>
      <c r="R492" s="3">
        <v>0</v>
      </c>
      <c r="S492" s="4">
        <v>0</v>
      </c>
      <c r="T492" s="4">
        <v>66</v>
      </c>
      <c r="U492" s="4">
        <v>10</v>
      </c>
      <c r="V492" s="4">
        <f>IF(ISERROR(VLOOKUP($S$492,'TAR FIN'!$A$1:$O$88,15,0)),0,VLOOKUP($S$492,'TAR FIN'!$A$1:$O$88,15,0))</f>
        <v>0</v>
      </c>
      <c r="W492" s="4">
        <f>IF(ISERROR(VLOOKUP($T$492,'TAR FIN'!$A$1:$O$88,15,0)),0,VLOOKUP($T$492,'TAR FIN'!$A$1:$O$88,15,0))</f>
        <v>501.48</v>
      </c>
      <c r="X492" s="4">
        <f>IF(ISERROR(VLOOKUP($U$492,'TAR FIN'!$A$1:$O$88,15,0)),0,VLOOKUP($U$492,'TAR FIN'!$A$1:$O$88,15,0))</f>
        <v>150.26</v>
      </c>
      <c r="Y492" s="4"/>
      <c r="Z492" s="4">
        <f ca="1">('TUSD BE'!$AM$48+'TUSD BF'!$AM$48+'TUSD CVA'!$AM$48)*1</f>
        <v>590.21277757372172</v>
      </c>
      <c r="AA492" s="4">
        <f>('TE BE'!$AB$38+'TE BF'!$AB$38+'TE CVA'!$AB$38)*1</f>
        <v>136.62265710865657</v>
      </c>
      <c r="AB492" s="4">
        <f>$K$492*$V$492</f>
        <v>0</v>
      </c>
      <c r="AC492" s="4">
        <f>$M$492*$W$492</f>
        <v>2348.43084</v>
      </c>
      <c r="AD492" s="4">
        <f>$O$492*$X$492</f>
        <v>703.66757999999993</v>
      </c>
      <c r="AE492" s="4">
        <f>$K$492*$Y$492</f>
        <v>0</v>
      </c>
      <c r="AF492" s="4">
        <f ca="1">$M$492*$Z$492</f>
        <v>2763.9664373777387</v>
      </c>
      <c r="AG492" s="4">
        <f>$O$492*$AA$492</f>
        <v>639.80390323983863</v>
      </c>
    </row>
    <row r="493" spans="1:33" ht="11.25" customHeight="1" x14ac:dyDescent="0.25">
      <c r="A493" s="3" t="s">
        <v>21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346.29300000000001</v>
      </c>
      <c r="M493" s="4">
        <v>346.29300000000001</v>
      </c>
      <c r="N493" s="4">
        <v>346.29300000000001</v>
      </c>
      <c r="O493" s="4">
        <v>346.29300000000001</v>
      </c>
      <c r="P493" s="4">
        <v>567</v>
      </c>
      <c r="Q493" s="3" t="s">
        <v>26</v>
      </c>
      <c r="R493" s="3">
        <v>0</v>
      </c>
      <c r="S493" s="4">
        <v>0</v>
      </c>
      <c r="T493" s="4">
        <v>66</v>
      </c>
      <c r="U493" s="4">
        <v>10</v>
      </c>
      <c r="V493" s="4">
        <f>IF(ISERROR(VLOOKUP($S$493,'TAR FIN'!$A$1:$O$88,15,0)),0,VLOOKUP($S$493,'TAR FIN'!$A$1:$O$88,15,0))</f>
        <v>0</v>
      </c>
      <c r="W493" s="4">
        <f>IF(ISERROR(VLOOKUP($T$493,'TAR FIN'!$A$1:$O$88,15,0)),0,VLOOKUP($T$493,'TAR FIN'!$A$1:$O$88,15,0))</f>
        <v>501.48</v>
      </c>
      <c r="X493" s="4">
        <f>IF(ISERROR(VLOOKUP($U$493,'TAR FIN'!$A$1:$O$88,15,0)),0,VLOOKUP($U$493,'TAR FIN'!$A$1:$O$88,15,0))</f>
        <v>150.26</v>
      </c>
      <c r="Y493" s="4"/>
      <c r="Z493" s="4">
        <f ca="1">('TUSD BE'!$AM$48+'TUSD BF'!$AM$48+'TUSD CVA'!$AM$48)*1</f>
        <v>590.21277757372172</v>
      </c>
      <c r="AA493" s="4">
        <f>('TE BE'!$AB$38+'TE BF'!$AB$38+'TE CVA'!$AB$38)*1</f>
        <v>136.62265710865657</v>
      </c>
      <c r="AB493" s="4">
        <f>$K$493*$V$493</f>
        <v>0</v>
      </c>
      <c r="AC493" s="4">
        <f>$M$493*$W$493</f>
        <v>173659.01364000002</v>
      </c>
      <c r="AD493" s="4">
        <f>$O$493*$X$493</f>
        <v>52033.98618</v>
      </c>
      <c r="AE493" s="4">
        <f>$K$493*$Y$493</f>
        <v>0</v>
      </c>
      <c r="AF493" s="4">
        <f ca="1">$M$493*$Z$493</f>
        <v>204386.55338433682</v>
      </c>
      <c r="AG493" s="4">
        <f>$O$493*$AA$493</f>
        <v>47311.469798128011</v>
      </c>
    </row>
    <row r="494" spans="1:33" ht="11.25" customHeight="1" x14ac:dyDescent="0.25">
      <c r="A494" s="3" t="s">
        <v>28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44682</v>
      </c>
      <c r="J494" s="4">
        <v>0</v>
      </c>
      <c r="K494" s="4">
        <v>0</v>
      </c>
      <c r="L494" s="4">
        <v>4.0880000000000001</v>
      </c>
      <c r="M494" s="4">
        <v>4.0880000000000001</v>
      </c>
      <c r="N494" s="4">
        <v>4.0880000000000001</v>
      </c>
      <c r="O494" s="4">
        <v>4.0880000000000001</v>
      </c>
      <c r="P494" s="4">
        <v>9</v>
      </c>
      <c r="Q494" s="3" t="s">
        <v>26</v>
      </c>
      <c r="R494" s="3">
        <v>0</v>
      </c>
      <c r="S494" s="4">
        <v>0</v>
      </c>
      <c r="T494" s="4">
        <v>66</v>
      </c>
      <c r="U494" s="4">
        <v>10</v>
      </c>
      <c r="V494" s="4">
        <f>IF(ISERROR(VLOOKUP($S$494,'TAR FIN'!$A$1:$O$88,15,0)),0,VLOOKUP($S$494,'TAR FIN'!$A$1:$O$88,15,0))</f>
        <v>0</v>
      </c>
      <c r="W494" s="4">
        <f>IF(ISERROR(VLOOKUP($T$494,'TAR FIN'!$A$1:$O$88,15,0)),0,VLOOKUP($T$494,'TAR FIN'!$A$1:$O$88,15,0))</f>
        <v>501.48</v>
      </c>
      <c r="X494" s="4">
        <f>IF(ISERROR(VLOOKUP($U$494,'TAR FIN'!$A$1:$O$88,15,0)),0,VLOOKUP($U$494,'TAR FIN'!$A$1:$O$88,15,0))</f>
        <v>150.26</v>
      </c>
      <c r="Y494" s="4"/>
      <c r="Z494" s="4">
        <f ca="1">('TUSD BE'!$AM$48+'TUSD BF'!$AM$48+'TUSD CVA'!$AM$48)*1</f>
        <v>590.21277757372172</v>
      </c>
      <c r="AA494" s="4">
        <f>('TE BE'!$AB$38+'TE BF'!$AB$38+'TE CVA'!$AB$38)*1</f>
        <v>136.62265710865657</v>
      </c>
      <c r="AB494" s="4">
        <f>$K$494*$V$494</f>
        <v>0</v>
      </c>
      <c r="AC494" s="4">
        <f>$M$494*$W$494</f>
        <v>2050.05024</v>
      </c>
      <c r="AD494" s="4">
        <f>$O$494*$X$494</f>
        <v>614.26288</v>
      </c>
      <c r="AE494" s="4">
        <f>$K$494*$Y$494</f>
        <v>0</v>
      </c>
      <c r="AF494" s="4">
        <f ca="1">$M$494*$Z$494</f>
        <v>2412.7898347213745</v>
      </c>
      <c r="AG494" s="4">
        <f>$O$494*$AA$494</f>
        <v>558.51342226018801</v>
      </c>
    </row>
    <row r="495" spans="1:33" ht="11.25" customHeight="1" x14ac:dyDescent="0.25">
      <c r="A495" s="3" t="s">
        <v>21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44713</v>
      </c>
      <c r="J495" s="4">
        <v>0</v>
      </c>
      <c r="K495" s="4">
        <v>0</v>
      </c>
      <c r="L495" s="4">
        <v>344.166</v>
      </c>
      <c r="M495" s="4">
        <v>344.166</v>
      </c>
      <c r="N495" s="4">
        <v>344.166</v>
      </c>
      <c r="O495" s="4">
        <v>344.166</v>
      </c>
      <c r="P495" s="4">
        <v>571</v>
      </c>
      <c r="Q495" s="3" t="s">
        <v>26</v>
      </c>
      <c r="R495" s="3">
        <v>0</v>
      </c>
      <c r="S495" s="4">
        <v>0</v>
      </c>
      <c r="T495" s="4">
        <v>66</v>
      </c>
      <c r="U495" s="4">
        <v>10</v>
      </c>
      <c r="V495" s="4">
        <f>IF(ISERROR(VLOOKUP($S$495,'TAR FIN'!$A$1:$O$88,15,0)),0,VLOOKUP($S$495,'TAR FIN'!$A$1:$O$88,15,0))</f>
        <v>0</v>
      </c>
      <c r="W495" s="4">
        <f>IF(ISERROR(VLOOKUP($T$495,'TAR FIN'!$A$1:$O$88,15,0)),0,VLOOKUP($T$495,'TAR FIN'!$A$1:$O$88,15,0))</f>
        <v>501.48</v>
      </c>
      <c r="X495" s="4">
        <f>IF(ISERROR(VLOOKUP($U$495,'TAR FIN'!$A$1:$O$88,15,0)),0,VLOOKUP($U$495,'TAR FIN'!$A$1:$O$88,15,0))</f>
        <v>150.26</v>
      </c>
      <c r="Y495" s="4"/>
      <c r="Z495" s="4">
        <f ca="1">('TUSD BE'!$AM$48+'TUSD BF'!$AM$48+'TUSD CVA'!$AM$48)*1</f>
        <v>590.21277757372172</v>
      </c>
      <c r="AA495" s="4">
        <f>('TE BE'!$AB$38+'TE BF'!$AB$38+'TE CVA'!$AB$38)*1</f>
        <v>136.62265710865657</v>
      </c>
      <c r="AB495" s="4">
        <f>$K$495*$V$495</f>
        <v>0</v>
      </c>
      <c r="AC495" s="4">
        <f>$M$495*$W$495</f>
        <v>172592.36568000002</v>
      </c>
      <c r="AD495" s="4">
        <f>$O$495*$X$495</f>
        <v>51714.383159999998</v>
      </c>
      <c r="AE495" s="4">
        <f>$K$495*$Y$495</f>
        <v>0</v>
      </c>
      <c r="AF495" s="4">
        <f ca="1">$M$495*$Z$495</f>
        <v>203131.1708064375</v>
      </c>
      <c r="AG495" s="4">
        <f>$O$495*$AA$495</f>
        <v>47020.873406457897</v>
      </c>
    </row>
    <row r="496" spans="1:33" ht="11.25" customHeight="1" x14ac:dyDescent="0.25">
      <c r="A496" s="3" t="s">
        <v>28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44713</v>
      </c>
      <c r="J496" s="4">
        <v>0</v>
      </c>
      <c r="K496" s="4">
        <v>0</v>
      </c>
      <c r="L496" s="4">
        <v>11.874000000000001</v>
      </c>
      <c r="M496" s="4">
        <v>11.874000000000001</v>
      </c>
      <c r="N496" s="4">
        <v>11.874000000000001</v>
      </c>
      <c r="O496" s="4">
        <v>11.874000000000001</v>
      </c>
      <c r="P496" s="4">
        <v>11</v>
      </c>
      <c r="Q496" s="3" t="s">
        <v>26</v>
      </c>
      <c r="R496" s="3">
        <v>0</v>
      </c>
      <c r="S496" s="4">
        <v>0</v>
      </c>
      <c r="T496" s="4">
        <v>66</v>
      </c>
      <c r="U496" s="4">
        <v>10</v>
      </c>
      <c r="V496" s="4">
        <f>IF(ISERROR(VLOOKUP($S$496,'TAR FIN'!$A$1:$O$88,15,0)),0,VLOOKUP($S$496,'TAR FIN'!$A$1:$O$88,15,0))</f>
        <v>0</v>
      </c>
      <c r="W496" s="4">
        <f>IF(ISERROR(VLOOKUP($T$496,'TAR FIN'!$A$1:$O$88,15,0)),0,VLOOKUP($T$496,'TAR FIN'!$A$1:$O$88,15,0))</f>
        <v>501.48</v>
      </c>
      <c r="X496" s="4">
        <f>IF(ISERROR(VLOOKUP($U$496,'TAR FIN'!$A$1:$O$88,15,0)),0,VLOOKUP($U$496,'TAR FIN'!$A$1:$O$88,15,0))</f>
        <v>150.26</v>
      </c>
      <c r="Y496" s="4"/>
      <c r="Z496" s="4">
        <f ca="1">('TUSD BE'!$AM$48+'TUSD BF'!$AM$48+'TUSD CVA'!$AM$48)*1</f>
        <v>590.21277757372172</v>
      </c>
      <c r="AA496" s="4">
        <f>('TE BE'!$AB$38+'TE BF'!$AB$38+'TE CVA'!$AB$38)*1</f>
        <v>136.62265710865657</v>
      </c>
      <c r="AB496" s="4">
        <f>$K$496*$V$496</f>
        <v>0</v>
      </c>
      <c r="AC496" s="4">
        <f>$M$496*$W$496</f>
        <v>5954.5735200000008</v>
      </c>
      <c r="AD496" s="4">
        <f>$O$496*$X$496</f>
        <v>1784.18724</v>
      </c>
      <c r="AE496" s="4">
        <f>$K$496*$Y$496</f>
        <v>0</v>
      </c>
      <c r="AF496" s="4">
        <f ca="1">$M$496*$Z$496</f>
        <v>7008.1865209103717</v>
      </c>
      <c r="AG496" s="4">
        <f>$O$496*$AA$496</f>
        <v>1622.2574305081882</v>
      </c>
    </row>
    <row r="497" spans="1:33" ht="11.25" customHeight="1" x14ac:dyDescent="0.25">
      <c r="A497" s="3" t="s">
        <v>21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44743</v>
      </c>
      <c r="J497" s="4">
        <v>0</v>
      </c>
      <c r="K497" s="4">
        <v>0</v>
      </c>
      <c r="L497" s="4">
        <v>353.32600000000002</v>
      </c>
      <c r="M497" s="4">
        <v>353.32600000000002</v>
      </c>
      <c r="N497" s="4">
        <v>353.32600000000002</v>
      </c>
      <c r="O497" s="4">
        <v>353.32600000000002</v>
      </c>
      <c r="P497" s="4">
        <v>575</v>
      </c>
      <c r="Q497" s="3" t="s">
        <v>26</v>
      </c>
      <c r="R497" s="3">
        <v>0</v>
      </c>
      <c r="S497" s="4">
        <v>0</v>
      </c>
      <c r="T497" s="4">
        <v>66</v>
      </c>
      <c r="U497" s="4">
        <v>10</v>
      </c>
      <c r="V497" s="4">
        <f>IF(ISERROR(VLOOKUP($S$497,'TAR FIN'!$A$1:$O$88,15,0)),0,VLOOKUP($S$497,'TAR FIN'!$A$1:$O$88,15,0))</f>
        <v>0</v>
      </c>
      <c r="W497" s="4">
        <f>IF(ISERROR(VLOOKUP($T$497,'TAR FIN'!$A$1:$O$88,15,0)),0,VLOOKUP($T$497,'TAR FIN'!$A$1:$O$88,15,0))</f>
        <v>501.48</v>
      </c>
      <c r="X497" s="4">
        <f>IF(ISERROR(VLOOKUP($U$497,'TAR FIN'!$A$1:$O$88,15,0)),0,VLOOKUP($U$497,'TAR FIN'!$A$1:$O$88,15,0))</f>
        <v>150.26</v>
      </c>
      <c r="Y497" s="4"/>
      <c r="Z497" s="4">
        <f ca="1">('TUSD BE'!$AM$48+'TUSD BF'!$AM$48+'TUSD CVA'!$AM$48)*1</f>
        <v>590.21277757372172</v>
      </c>
      <c r="AA497" s="4">
        <f>('TE BE'!$AB$38+'TE BF'!$AB$38+'TE CVA'!$AB$38)*1</f>
        <v>136.62265710865657</v>
      </c>
      <c r="AB497" s="4">
        <f>$K$497*$V$497</f>
        <v>0</v>
      </c>
      <c r="AC497" s="4">
        <f>$M$497*$W$497</f>
        <v>177185.92248000001</v>
      </c>
      <c r="AD497" s="4">
        <f>$O$497*$X$497</f>
        <v>53090.764759999998</v>
      </c>
      <c r="AE497" s="4">
        <f>$K$497*$Y$497</f>
        <v>0</v>
      </c>
      <c r="AF497" s="4">
        <f ca="1">$M$497*$Z$497</f>
        <v>208537.51984901281</v>
      </c>
      <c r="AG497" s="4">
        <f>$O$497*$AA$497</f>
        <v>48272.336945573195</v>
      </c>
    </row>
    <row r="498" spans="1:33" ht="11.25" customHeight="1" x14ac:dyDescent="0.25">
      <c r="A498" s="3" t="s">
        <v>28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44743</v>
      </c>
      <c r="J498" s="4">
        <v>0</v>
      </c>
      <c r="K498" s="4">
        <v>0</v>
      </c>
      <c r="L498" s="4">
        <v>15.151</v>
      </c>
      <c r="M498" s="4">
        <v>15.151</v>
      </c>
      <c r="N498" s="4">
        <v>15.151</v>
      </c>
      <c r="O498" s="4">
        <v>15.151</v>
      </c>
      <c r="P498" s="4">
        <v>11</v>
      </c>
      <c r="Q498" s="3" t="s">
        <v>26</v>
      </c>
      <c r="R498" s="3">
        <v>0</v>
      </c>
      <c r="S498" s="4">
        <v>0</v>
      </c>
      <c r="T498" s="4">
        <v>66</v>
      </c>
      <c r="U498" s="4">
        <v>10</v>
      </c>
      <c r="V498" s="4">
        <f>IF(ISERROR(VLOOKUP($S$498,'TAR FIN'!$A$1:$O$88,15,0)),0,VLOOKUP($S$498,'TAR FIN'!$A$1:$O$88,15,0))</f>
        <v>0</v>
      </c>
      <c r="W498" s="4">
        <f>IF(ISERROR(VLOOKUP($T$498,'TAR FIN'!$A$1:$O$88,15,0)),0,VLOOKUP($T$498,'TAR FIN'!$A$1:$O$88,15,0))</f>
        <v>501.48</v>
      </c>
      <c r="X498" s="4">
        <f>IF(ISERROR(VLOOKUP($U$498,'TAR FIN'!$A$1:$O$88,15,0)),0,VLOOKUP($U$498,'TAR FIN'!$A$1:$O$88,15,0))</f>
        <v>150.26</v>
      </c>
      <c r="Y498" s="4"/>
      <c r="Z498" s="4">
        <f ca="1">('TUSD BE'!$AM$48+'TUSD BF'!$AM$48+'TUSD CVA'!$AM$48)*1</f>
        <v>590.21277757372172</v>
      </c>
      <c r="AA498" s="4">
        <f>('TE BE'!$AB$38+'TE BF'!$AB$38+'TE CVA'!$AB$38)*1</f>
        <v>136.62265710865657</v>
      </c>
      <c r="AB498" s="4">
        <f>$K$498*$V$498</f>
        <v>0</v>
      </c>
      <c r="AC498" s="4">
        <f>$M$498*$W$498</f>
        <v>7597.9234800000004</v>
      </c>
      <c r="AD498" s="4">
        <f>$O$498*$X$498</f>
        <v>2276.5892599999997</v>
      </c>
      <c r="AE498" s="4">
        <f>$K$498*$Y$498</f>
        <v>0</v>
      </c>
      <c r="AF498" s="4">
        <f ca="1">$M$498*$Z$498</f>
        <v>8942.3137930194571</v>
      </c>
      <c r="AG498" s="4">
        <f>$O$498*$AA$498</f>
        <v>2069.9698778532556</v>
      </c>
    </row>
    <row r="499" spans="1:33" ht="11.25" customHeight="1" x14ac:dyDescent="0.25">
      <c r="A499" s="3" t="s">
        <v>55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44774</v>
      </c>
      <c r="J499" s="4">
        <v>0</v>
      </c>
      <c r="K499" s="4">
        <v>0</v>
      </c>
      <c r="L499" s="4">
        <v>353.32600000000002</v>
      </c>
      <c r="M499" s="4">
        <v>353.32600000000002</v>
      </c>
      <c r="N499" s="4">
        <v>353.32600000000002</v>
      </c>
      <c r="O499" s="4">
        <v>353.32600000000002</v>
      </c>
      <c r="P499" s="4">
        <v>575</v>
      </c>
      <c r="Q499" s="3" t="s">
        <v>26</v>
      </c>
      <c r="R499" s="3">
        <v>0</v>
      </c>
      <c r="S499" s="4">
        <v>0</v>
      </c>
      <c r="T499" s="4">
        <v>66</v>
      </c>
      <c r="U499" s="4">
        <v>10</v>
      </c>
      <c r="V499" s="4">
        <f>IF(ISERROR(VLOOKUP($S$499,'TAR FIN'!$A$1:$O$88,15,0)),0,VLOOKUP($S$499,'TAR FIN'!$A$1:$O$88,15,0))</f>
        <v>0</v>
      </c>
      <c r="W499" s="4">
        <f>IF(ISERROR(VLOOKUP($T$499,'TAR FIN'!$A$1:$O$88,15,0)),0,VLOOKUP($T$499,'TAR FIN'!$A$1:$O$88,15,0))</f>
        <v>501.48</v>
      </c>
      <c r="X499" s="4">
        <f>IF(ISERROR(VLOOKUP($U$499,'TAR FIN'!$A$1:$O$88,15,0)),0,VLOOKUP($U$499,'TAR FIN'!$A$1:$O$88,15,0))</f>
        <v>150.26</v>
      </c>
      <c r="Y499" s="4"/>
      <c r="Z499" s="4">
        <f ca="1">('TUSD BE'!$AM$48+'TUSD BF'!$AM$48+'TUSD CVA'!$AM$48)*1</f>
        <v>590.21277757372172</v>
      </c>
      <c r="AA499" s="4">
        <f>('TE BE'!$AB$38+'TE BF'!$AB$38+'TE CVA'!$AB$38)*1</f>
        <v>136.62265710865657</v>
      </c>
      <c r="AB499" s="4">
        <f>$K$499*$V$499</f>
        <v>0</v>
      </c>
      <c r="AC499" s="4">
        <f>$M$499*$W$499</f>
        <v>177185.92248000001</v>
      </c>
      <c r="AD499" s="4">
        <f>$O$499*$X$499</f>
        <v>53090.764759999998</v>
      </c>
      <c r="AE499" s="4">
        <f>$K$499*$Y$499</f>
        <v>0</v>
      </c>
      <c r="AF499" s="4">
        <f ca="1">$M$499*$Z$499</f>
        <v>208537.51984901281</v>
      </c>
      <c r="AG499" s="4">
        <f>$O$499*$AA$499</f>
        <v>48272.336945573195</v>
      </c>
    </row>
    <row r="500" spans="1:33" ht="11.25" customHeight="1" x14ac:dyDescent="0.25">
      <c r="A500" s="3" t="s">
        <v>55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44774</v>
      </c>
      <c r="J500" s="4">
        <v>0</v>
      </c>
      <c r="K500" s="4">
        <v>0</v>
      </c>
      <c r="L500" s="4">
        <v>15.151</v>
      </c>
      <c r="M500" s="4">
        <v>15.151</v>
      </c>
      <c r="N500" s="4">
        <v>15.151</v>
      </c>
      <c r="O500" s="4">
        <v>15.151</v>
      </c>
      <c r="P500" s="4">
        <v>11</v>
      </c>
      <c r="Q500" s="3" t="s">
        <v>26</v>
      </c>
      <c r="R500" s="3">
        <v>0</v>
      </c>
      <c r="S500" s="4">
        <v>0</v>
      </c>
      <c r="T500" s="4">
        <v>66</v>
      </c>
      <c r="U500" s="4">
        <v>10</v>
      </c>
      <c r="V500" s="4">
        <f>IF(ISERROR(VLOOKUP($S$500,'TAR FIN'!$A$1:$O$88,15,0)),0,VLOOKUP($S$500,'TAR FIN'!$A$1:$O$88,15,0))</f>
        <v>0</v>
      </c>
      <c r="W500" s="4">
        <f>IF(ISERROR(VLOOKUP($T$500,'TAR FIN'!$A$1:$O$88,15,0)),0,VLOOKUP($T$500,'TAR FIN'!$A$1:$O$88,15,0))</f>
        <v>501.48</v>
      </c>
      <c r="X500" s="4">
        <f>IF(ISERROR(VLOOKUP($U$500,'TAR FIN'!$A$1:$O$88,15,0)),0,VLOOKUP($U$500,'TAR FIN'!$A$1:$O$88,15,0))</f>
        <v>150.26</v>
      </c>
      <c r="Y500" s="4"/>
      <c r="Z500" s="4">
        <f ca="1">('TUSD BE'!$AM$48+'TUSD BF'!$AM$48+'TUSD CVA'!$AM$48)*1</f>
        <v>590.21277757372172</v>
      </c>
      <c r="AA500" s="4">
        <f>('TE BE'!$AB$38+'TE BF'!$AB$38+'TE CVA'!$AB$38)*1</f>
        <v>136.62265710865657</v>
      </c>
      <c r="AB500" s="4">
        <f>$K$500*$V$500</f>
        <v>0</v>
      </c>
      <c r="AC500" s="4">
        <f>$M$500*$W$500</f>
        <v>7597.9234800000004</v>
      </c>
      <c r="AD500" s="4">
        <f>$O$500*$X$500</f>
        <v>2276.5892599999997</v>
      </c>
      <c r="AE500" s="4">
        <f>$K$500*$Y$500</f>
        <v>0</v>
      </c>
      <c r="AF500" s="4">
        <f ca="1">$M$500*$Z$500</f>
        <v>8942.3137930194571</v>
      </c>
      <c r="AG500" s="4">
        <f>$O$500*$AA$500</f>
        <v>2069.9698778532556</v>
      </c>
    </row>
    <row r="501" spans="1:33" ht="11.25" customHeight="1" x14ac:dyDescent="0.25">
      <c r="A501" s="3" t="s">
        <v>21</v>
      </c>
      <c r="B501" s="3" t="s">
        <v>33</v>
      </c>
      <c r="C501" s="3" t="s">
        <v>23</v>
      </c>
      <c r="D501" s="3" t="s">
        <v>45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44440</v>
      </c>
      <c r="J501" s="4">
        <v>0</v>
      </c>
      <c r="K501" s="4">
        <v>0</v>
      </c>
      <c r="L501" s="4">
        <v>66.316999999999993</v>
      </c>
      <c r="M501" s="4">
        <v>66.316999999999993</v>
      </c>
      <c r="N501" s="4">
        <v>66.316999999999993</v>
      </c>
      <c r="O501" s="4">
        <v>66.316999999999993</v>
      </c>
      <c r="P501" s="4">
        <v>125</v>
      </c>
      <c r="Q501" s="3" t="s">
        <v>26</v>
      </c>
      <c r="R501" s="3">
        <v>0</v>
      </c>
      <c r="S501" s="4">
        <v>0</v>
      </c>
      <c r="T501" s="4">
        <v>66</v>
      </c>
      <c r="U501" s="4">
        <v>10</v>
      </c>
      <c r="V501" s="4">
        <f>IF(ISERROR(VLOOKUP($S$501,'TAR FIN'!$A$1:$O$88,15,0)),0,VLOOKUP($S$501,'TAR FIN'!$A$1:$O$88,15,0))</f>
        <v>0</v>
      </c>
      <c r="W501" s="4">
        <f>IF(ISERROR(VLOOKUP($T$501,'TAR FIN'!$A$1:$O$88,15,0)),0,VLOOKUP($T$501,'TAR FIN'!$A$1:$O$88,15,0))</f>
        <v>501.48</v>
      </c>
      <c r="X501" s="4">
        <f>IF(ISERROR(VLOOKUP($U$501,'TAR FIN'!$A$1:$O$88,15,0)),0,VLOOKUP($U$501,'TAR FIN'!$A$1:$O$88,15,0))</f>
        <v>150.26</v>
      </c>
      <c r="Y501" s="4"/>
      <c r="Z501" s="4">
        <f ca="1">('TUSD BE'!$AM$48+'TUSD BF'!$AM$48+'TUSD CVA'!$AM$48)*1</f>
        <v>590.21277757372172</v>
      </c>
      <c r="AA501" s="4">
        <f>('TE BE'!$AB$38+'TE BF'!$AB$38+'TE CVA'!$AB$38)*1</f>
        <v>136.62265710865657</v>
      </c>
      <c r="AB501" s="4">
        <f>$K$501*$V$501</f>
        <v>0</v>
      </c>
      <c r="AC501" s="4">
        <f>$M$501*$W$501</f>
        <v>33256.649160000001</v>
      </c>
      <c r="AD501" s="4">
        <f>$O$501*$X$501</f>
        <v>9964.7924199999979</v>
      </c>
      <c r="AE501" s="4">
        <f>$K$501*$Y$501</f>
        <v>0</v>
      </c>
      <c r="AF501" s="4">
        <f ca="1">$M$501*$Z$501</f>
        <v>39141.140770356498</v>
      </c>
      <c r="AG501" s="4">
        <f>$O$501*$AA$501</f>
        <v>9060.4047514747763</v>
      </c>
    </row>
    <row r="502" spans="1:33" ht="11.25" customHeight="1" x14ac:dyDescent="0.25">
      <c r="A502" s="3" t="s">
        <v>28</v>
      </c>
      <c r="B502" s="3" t="s">
        <v>33</v>
      </c>
      <c r="C502" s="3" t="s">
        <v>23</v>
      </c>
      <c r="D502" s="3" t="s">
        <v>45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44440</v>
      </c>
      <c r="J502" s="4">
        <v>0</v>
      </c>
      <c r="K502" s="4">
        <v>0</v>
      </c>
      <c r="L502" s="4">
        <v>1.5489999999999999</v>
      </c>
      <c r="M502" s="4">
        <v>1.5489999999999999</v>
      </c>
      <c r="N502" s="4">
        <v>1.5489999999999999</v>
      </c>
      <c r="O502" s="4">
        <v>1.5489999999999999</v>
      </c>
      <c r="P502" s="4">
        <v>2</v>
      </c>
      <c r="Q502" s="3" t="s">
        <v>26</v>
      </c>
      <c r="R502" s="3">
        <v>0</v>
      </c>
      <c r="S502" s="4">
        <v>0</v>
      </c>
      <c r="T502" s="4">
        <v>66</v>
      </c>
      <c r="U502" s="4">
        <v>10</v>
      </c>
      <c r="V502" s="4">
        <f>IF(ISERROR(VLOOKUP($S$502,'TAR FIN'!$A$1:$O$88,15,0)),0,VLOOKUP($S$502,'TAR FIN'!$A$1:$O$88,15,0))</f>
        <v>0</v>
      </c>
      <c r="W502" s="4">
        <f>IF(ISERROR(VLOOKUP($T$502,'TAR FIN'!$A$1:$O$88,15,0)),0,VLOOKUP($T$502,'TAR FIN'!$A$1:$O$88,15,0))</f>
        <v>501.48</v>
      </c>
      <c r="X502" s="4">
        <f>IF(ISERROR(VLOOKUP($U$502,'TAR FIN'!$A$1:$O$88,15,0)),0,VLOOKUP($U$502,'TAR FIN'!$A$1:$O$88,15,0))</f>
        <v>150.26</v>
      </c>
      <c r="Y502" s="4"/>
      <c r="Z502" s="4">
        <f ca="1">('TUSD BE'!$AM$48+'TUSD BF'!$AM$48+'TUSD CVA'!$AM$48)*1</f>
        <v>590.21277757372172</v>
      </c>
      <c r="AA502" s="4">
        <f>('TE BE'!$AB$38+'TE BF'!$AB$38+'TE CVA'!$AB$38)*1</f>
        <v>136.62265710865657</v>
      </c>
      <c r="AB502" s="4">
        <f>$K$502*$V$502</f>
        <v>0</v>
      </c>
      <c r="AC502" s="4">
        <f>$M$502*$W$502</f>
        <v>776.79251999999997</v>
      </c>
      <c r="AD502" s="4">
        <f>$O$502*$X$502</f>
        <v>232.75273999999999</v>
      </c>
      <c r="AE502" s="4">
        <f>$K$502*$Y$502</f>
        <v>0</v>
      </c>
      <c r="AF502" s="4">
        <f ca="1">$M$502*$Z$502</f>
        <v>914.23959246169488</v>
      </c>
      <c r="AG502" s="4">
        <f>$O$502*$AA$502</f>
        <v>211.62849586130901</v>
      </c>
    </row>
    <row r="503" spans="1:33" ht="11.25" customHeight="1" x14ac:dyDescent="0.25">
      <c r="A503" s="3" t="s">
        <v>21</v>
      </c>
      <c r="B503" s="3" t="s">
        <v>33</v>
      </c>
      <c r="C503" s="3" t="s">
        <v>23</v>
      </c>
      <c r="D503" s="3" t="s">
        <v>45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44470</v>
      </c>
      <c r="J503" s="4">
        <v>0</v>
      </c>
      <c r="K503" s="4">
        <v>0</v>
      </c>
      <c r="L503" s="4">
        <v>66.320999999999998</v>
      </c>
      <c r="M503" s="4">
        <v>66.320999999999998</v>
      </c>
      <c r="N503" s="4">
        <v>66.320999999999998</v>
      </c>
      <c r="O503" s="4">
        <v>66.320999999999998</v>
      </c>
      <c r="P503" s="4">
        <v>125</v>
      </c>
      <c r="Q503" s="3" t="s">
        <v>26</v>
      </c>
      <c r="R503" s="3">
        <v>0</v>
      </c>
      <c r="S503" s="4">
        <v>0</v>
      </c>
      <c r="T503" s="4">
        <v>66</v>
      </c>
      <c r="U503" s="4">
        <v>10</v>
      </c>
      <c r="V503" s="4">
        <f>IF(ISERROR(VLOOKUP($S$503,'TAR FIN'!$A$1:$O$88,15,0)),0,VLOOKUP($S$503,'TAR FIN'!$A$1:$O$88,15,0))</f>
        <v>0</v>
      </c>
      <c r="W503" s="4">
        <f>IF(ISERROR(VLOOKUP($T$503,'TAR FIN'!$A$1:$O$88,15,0)),0,VLOOKUP($T$503,'TAR FIN'!$A$1:$O$88,15,0))</f>
        <v>501.48</v>
      </c>
      <c r="X503" s="4">
        <f>IF(ISERROR(VLOOKUP($U$503,'TAR FIN'!$A$1:$O$88,15,0)),0,VLOOKUP($U$503,'TAR FIN'!$A$1:$O$88,15,0))</f>
        <v>150.26</v>
      </c>
      <c r="Y503" s="4"/>
      <c r="Z503" s="4">
        <f ca="1">('TUSD BE'!$AM$48+'TUSD BF'!$AM$48+'TUSD CVA'!$AM$48)*1</f>
        <v>590.21277757372172</v>
      </c>
      <c r="AA503" s="4">
        <f>('TE BE'!$AB$38+'TE BF'!$AB$38+'TE CVA'!$AB$38)*1</f>
        <v>136.62265710865657</v>
      </c>
      <c r="AB503" s="4">
        <f>$K$503*$V$503</f>
        <v>0</v>
      </c>
      <c r="AC503" s="4">
        <f>$M$503*$W$503</f>
        <v>33258.655079999997</v>
      </c>
      <c r="AD503" s="4">
        <f>$O$503*$X$503</f>
        <v>9965.3934599999993</v>
      </c>
      <c r="AE503" s="4">
        <f>$K$503*$Y$503</f>
        <v>0</v>
      </c>
      <c r="AF503" s="4">
        <f ca="1">$M$503*$Z$503</f>
        <v>39143.501621466799</v>
      </c>
      <c r="AG503" s="4">
        <f>$O$503*$AA$503</f>
        <v>9060.9512421032123</v>
      </c>
    </row>
    <row r="504" spans="1:33" ht="11.25" customHeight="1" x14ac:dyDescent="0.25">
      <c r="A504" s="3" t="s">
        <v>28</v>
      </c>
      <c r="B504" s="3" t="s">
        <v>33</v>
      </c>
      <c r="C504" s="3" t="s">
        <v>23</v>
      </c>
      <c r="D504" s="3" t="s">
        <v>45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44470</v>
      </c>
      <c r="J504" s="4">
        <v>0</v>
      </c>
      <c r="K504" s="4">
        <v>0</v>
      </c>
      <c r="L504" s="4">
        <v>1.5960000000000001</v>
      </c>
      <c r="M504" s="4">
        <v>1.5960000000000001</v>
      </c>
      <c r="N504" s="4">
        <v>1.5960000000000001</v>
      </c>
      <c r="O504" s="4">
        <v>1.5960000000000001</v>
      </c>
      <c r="P504" s="4">
        <v>2</v>
      </c>
      <c r="Q504" s="3" t="s">
        <v>26</v>
      </c>
      <c r="R504" s="3">
        <v>0</v>
      </c>
      <c r="S504" s="4">
        <v>0</v>
      </c>
      <c r="T504" s="4">
        <v>66</v>
      </c>
      <c r="U504" s="4">
        <v>10</v>
      </c>
      <c r="V504" s="4">
        <f>IF(ISERROR(VLOOKUP($S$504,'TAR FIN'!$A$1:$O$88,15,0)),0,VLOOKUP($S$504,'TAR FIN'!$A$1:$O$88,15,0))</f>
        <v>0</v>
      </c>
      <c r="W504" s="4">
        <f>IF(ISERROR(VLOOKUP($T$504,'TAR FIN'!$A$1:$O$88,15,0)),0,VLOOKUP($T$504,'TAR FIN'!$A$1:$O$88,15,0))</f>
        <v>501.48</v>
      </c>
      <c r="X504" s="4">
        <f>IF(ISERROR(VLOOKUP($U$504,'TAR FIN'!$A$1:$O$88,15,0)),0,VLOOKUP($U$504,'TAR FIN'!$A$1:$O$88,15,0))</f>
        <v>150.26</v>
      </c>
      <c r="Y504" s="4"/>
      <c r="Z504" s="4">
        <f ca="1">('TUSD BE'!$AM$48+'TUSD BF'!$AM$48+'TUSD CVA'!$AM$48)*1</f>
        <v>590.21277757372172</v>
      </c>
      <c r="AA504" s="4">
        <f>('TE BE'!$AB$38+'TE BF'!$AB$38+'TE CVA'!$AB$38)*1</f>
        <v>136.62265710865657</v>
      </c>
      <c r="AB504" s="4">
        <f>$K$504*$V$504</f>
        <v>0</v>
      </c>
      <c r="AC504" s="4">
        <f>$M$504*$W$504</f>
        <v>800.36208000000011</v>
      </c>
      <c r="AD504" s="4">
        <f>$O$504*$X$504</f>
        <v>239.81495999999999</v>
      </c>
      <c r="AE504" s="4">
        <f>$K$504*$Y$504</f>
        <v>0</v>
      </c>
      <c r="AF504" s="4">
        <f ca="1">$M$504*$Z$504</f>
        <v>941.9795930076599</v>
      </c>
      <c r="AG504" s="4">
        <f>$O$504*$AA$504</f>
        <v>218.04976074541588</v>
      </c>
    </row>
    <row r="505" spans="1:33" ht="11.25" customHeight="1" x14ac:dyDescent="0.25">
      <c r="A505" s="3" t="s">
        <v>21</v>
      </c>
      <c r="B505" s="3" t="s">
        <v>33</v>
      </c>
      <c r="C505" s="3" t="s">
        <v>23</v>
      </c>
      <c r="D505" s="3" t="s">
        <v>45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44501</v>
      </c>
      <c r="J505" s="4">
        <v>0</v>
      </c>
      <c r="K505" s="4">
        <v>0</v>
      </c>
      <c r="L505" s="4">
        <v>77.125</v>
      </c>
      <c r="M505" s="4">
        <v>77.125</v>
      </c>
      <c r="N505" s="4">
        <v>77.125</v>
      </c>
      <c r="O505" s="4">
        <v>77.125</v>
      </c>
      <c r="P505" s="4">
        <v>125</v>
      </c>
      <c r="Q505" s="3" t="s">
        <v>26</v>
      </c>
      <c r="R505" s="3">
        <v>0</v>
      </c>
      <c r="S505" s="4">
        <v>0</v>
      </c>
      <c r="T505" s="4">
        <v>66</v>
      </c>
      <c r="U505" s="4">
        <v>10</v>
      </c>
      <c r="V505" s="4">
        <f>IF(ISERROR(VLOOKUP($S$505,'TAR FIN'!$A$1:$O$88,15,0)),0,VLOOKUP($S$505,'TAR FIN'!$A$1:$O$88,15,0))</f>
        <v>0</v>
      </c>
      <c r="W505" s="4">
        <f>IF(ISERROR(VLOOKUP($T$505,'TAR FIN'!$A$1:$O$88,15,0)),0,VLOOKUP($T$505,'TAR FIN'!$A$1:$O$88,15,0))</f>
        <v>501.48</v>
      </c>
      <c r="X505" s="4">
        <f>IF(ISERROR(VLOOKUP($U$505,'TAR FIN'!$A$1:$O$88,15,0)),0,VLOOKUP($U$505,'TAR FIN'!$A$1:$O$88,15,0))</f>
        <v>150.26</v>
      </c>
      <c r="Y505" s="4"/>
      <c r="Z505" s="4">
        <f ca="1">('TUSD BE'!$AM$48+'TUSD BF'!$AM$48+'TUSD CVA'!$AM$48)*1</f>
        <v>590.21277757372172</v>
      </c>
      <c r="AA505" s="4">
        <f>('TE BE'!$AB$38+'TE BF'!$AB$38+'TE CVA'!$AB$38)*1</f>
        <v>136.62265710865657</v>
      </c>
      <c r="AB505" s="4">
        <f>$K$505*$V$505</f>
        <v>0</v>
      </c>
      <c r="AC505" s="4">
        <f>$M$505*$W$505</f>
        <v>38676.645000000004</v>
      </c>
      <c r="AD505" s="4">
        <f>$O$505*$X$505</f>
        <v>11588.8025</v>
      </c>
      <c r="AE505" s="4">
        <f>$K$505*$Y$505</f>
        <v>0</v>
      </c>
      <c r="AF505" s="4">
        <f ca="1">$M$505*$Z$505</f>
        <v>45520.160470373288</v>
      </c>
      <c r="AG505" s="4">
        <f>$O$505*$AA$505</f>
        <v>10537.022429505138</v>
      </c>
    </row>
    <row r="506" spans="1:33" ht="11.25" customHeight="1" x14ac:dyDescent="0.25">
      <c r="A506" s="3" t="s">
        <v>28</v>
      </c>
      <c r="B506" s="3" t="s">
        <v>33</v>
      </c>
      <c r="C506" s="3" t="s">
        <v>23</v>
      </c>
      <c r="D506" s="3" t="s">
        <v>45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44501</v>
      </c>
      <c r="J506" s="4">
        <v>0</v>
      </c>
      <c r="K506" s="4">
        <v>0</v>
      </c>
      <c r="L506" s="4">
        <v>1.577</v>
      </c>
      <c r="M506" s="4">
        <v>1.577</v>
      </c>
      <c r="N506" s="4">
        <v>1.577</v>
      </c>
      <c r="O506" s="4">
        <v>1.577</v>
      </c>
      <c r="P506" s="4">
        <v>2</v>
      </c>
      <c r="Q506" s="3" t="s">
        <v>26</v>
      </c>
      <c r="R506" s="3">
        <v>0</v>
      </c>
      <c r="S506" s="4">
        <v>0</v>
      </c>
      <c r="T506" s="4">
        <v>66</v>
      </c>
      <c r="U506" s="4">
        <v>10</v>
      </c>
      <c r="V506" s="4">
        <f>IF(ISERROR(VLOOKUP($S$506,'TAR FIN'!$A$1:$O$88,15,0)),0,VLOOKUP($S$506,'TAR FIN'!$A$1:$O$88,15,0))</f>
        <v>0</v>
      </c>
      <c r="W506" s="4">
        <f>IF(ISERROR(VLOOKUP($T$506,'TAR FIN'!$A$1:$O$88,15,0)),0,VLOOKUP($T$506,'TAR FIN'!$A$1:$O$88,15,0))</f>
        <v>501.48</v>
      </c>
      <c r="X506" s="4">
        <f>IF(ISERROR(VLOOKUP($U$506,'TAR FIN'!$A$1:$O$88,15,0)),0,VLOOKUP($U$506,'TAR FIN'!$A$1:$O$88,15,0))</f>
        <v>150.26</v>
      </c>
      <c r="Y506" s="4"/>
      <c r="Z506" s="4">
        <f ca="1">('TUSD BE'!$AM$48+'TUSD BF'!$AM$48+'TUSD CVA'!$AM$48)*1</f>
        <v>590.21277757372172</v>
      </c>
      <c r="AA506" s="4">
        <f>('TE BE'!$AB$38+'TE BF'!$AB$38+'TE CVA'!$AB$38)*1</f>
        <v>136.62265710865657</v>
      </c>
      <c r="AB506" s="4">
        <f>$K$506*$V$506</f>
        <v>0</v>
      </c>
      <c r="AC506" s="4">
        <f>$M$506*$W$506</f>
        <v>790.83396000000005</v>
      </c>
      <c r="AD506" s="4">
        <f>$O$506*$X$506</f>
        <v>236.96001999999999</v>
      </c>
      <c r="AE506" s="4">
        <f>$K$506*$Y$506</f>
        <v>0</v>
      </c>
      <c r="AF506" s="4">
        <f ca="1">$M$506*$Z$506</f>
        <v>930.76555023375909</v>
      </c>
      <c r="AG506" s="4">
        <f>$O$506*$AA$506</f>
        <v>215.4539302603514</v>
      </c>
    </row>
    <row r="507" spans="1:33" ht="11.25" customHeight="1" x14ac:dyDescent="0.25">
      <c r="A507" s="3" t="s">
        <v>21</v>
      </c>
      <c r="B507" s="3" t="s">
        <v>33</v>
      </c>
      <c r="C507" s="3" t="s">
        <v>23</v>
      </c>
      <c r="D507" s="3" t="s">
        <v>45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44531</v>
      </c>
      <c r="J507" s="4">
        <v>0</v>
      </c>
      <c r="K507" s="4">
        <v>0</v>
      </c>
      <c r="L507" s="4">
        <v>82.063000000000002</v>
      </c>
      <c r="M507" s="4">
        <v>82.063000000000002</v>
      </c>
      <c r="N507" s="4">
        <v>82.063000000000002</v>
      </c>
      <c r="O507" s="4">
        <v>82.063000000000002</v>
      </c>
      <c r="P507" s="4">
        <v>126</v>
      </c>
      <c r="Q507" s="3" t="s">
        <v>26</v>
      </c>
      <c r="R507" s="3">
        <v>0</v>
      </c>
      <c r="S507" s="4">
        <v>0</v>
      </c>
      <c r="T507" s="4">
        <v>66</v>
      </c>
      <c r="U507" s="4">
        <v>10</v>
      </c>
      <c r="V507" s="4">
        <f>IF(ISERROR(VLOOKUP($S$507,'TAR FIN'!$A$1:$O$88,15,0)),0,VLOOKUP($S$507,'TAR FIN'!$A$1:$O$88,15,0))</f>
        <v>0</v>
      </c>
      <c r="W507" s="4">
        <f>IF(ISERROR(VLOOKUP($T$507,'TAR FIN'!$A$1:$O$88,15,0)),0,VLOOKUP($T$507,'TAR FIN'!$A$1:$O$88,15,0))</f>
        <v>501.48</v>
      </c>
      <c r="X507" s="4">
        <f>IF(ISERROR(VLOOKUP($U$507,'TAR FIN'!$A$1:$O$88,15,0)),0,VLOOKUP($U$507,'TAR FIN'!$A$1:$O$88,15,0))</f>
        <v>150.26</v>
      </c>
      <c r="Y507" s="4"/>
      <c r="Z507" s="4">
        <f ca="1">('TUSD BE'!$AM$48+'TUSD BF'!$AM$48+'TUSD CVA'!$AM$48)*1</f>
        <v>590.21277757372172</v>
      </c>
      <c r="AA507" s="4">
        <f>('TE BE'!$AB$38+'TE BF'!$AB$38+'TE CVA'!$AB$38)*1</f>
        <v>136.62265710865657</v>
      </c>
      <c r="AB507" s="4">
        <f>$K$507*$V$507</f>
        <v>0</v>
      </c>
      <c r="AC507" s="4">
        <f>$M$507*$W$507</f>
        <v>41152.953240000003</v>
      </c>
      <c r="AD507" s="4">
        <f>$O$507*$X$507</f>
        <v>12330.78638</v>
      </c>
      <c r="AE507" s="4">
        <f>$K$507*$Y$507</f>
        <v>0</v>
      </c>
      <c r="AF507" s="4">
        <f ca="1">$M$507*$Z$507</f>
        <v>48434.631166032326</v>
      </c>
      <c r="AG507" s="4">
        <f>$O$507*$AA$507</f>
        <v>11211.665110307684</v>
      </c>
    </row>
    <row r="508" spans="1:33" ht="11.25" customHeight="1" x14ac:dyDescent="0.25">
      <c r="A508" s="3" t="s">
        <v>28</v>
      </c>
      <c r="B508" s="3" t="s">
        <v>33</v>
      </c>
      <c r="C508" s="3" t="s">
        <v>23</v>
      </c>
      <c r="D508" s="3" t="s">
        <v>45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44531</v>
      </c>
      <c r="J508" s="4">
        <v>0</v>
      </c>
      <c r="K508" s="4">
        <v>0</v>
      </c>
      <c r="L508" s="4">
        <v>1.9530000000000001</v>
      </c>
      <c r="M508" s="4">
        <v>1.9530000000000001</v>
      </c>
      <c r="N508" s="4">
        <v>1.9530000000000001</v>
      </c>
      <c r="O508" s="4">
        <v>1.9530000000000001</v>
      </c>
      <c r="P508" s="4">
        <v>2</v>
      </c>
      <c r="Q508" s="3" t="s">
        <v>26</v>
      </c>
      <c r="R508" s="3">
        <v>0</v>
      </c>
      <c r="S508" s="4">
        <v>0</v>
      </c>
      <c r="T508" s="4">
        <v>66</v>
      </c>
      <c r="U508" s="4">
        <v>10</v>
      </c>
      <c r="V508" s="4">
        <f>IF(ISERROR(VLOOKUP($S$508,'TAR FIN'!$A$1:$O$88,15,0)),0,VLOOKUP($S$508,'TAR FIN'!$A$1:$O$88,15,0))</f>
        <v>0</v>
      </c>
      <c r="W508" s="4">
        <f>IF(ISERROR(VLOOKUP($T$508,'TAR FIN'!$A$1:$O$88,15,0)),0,VLOOKUP($T$508,'TAR FIN'!$A$1:$O$88,15,0))</f>
        <v>501.48</v>
      </c>
      <c r="X508" s="4">
        <f>IF(ISERROR(VLOOKUP($U$508,'TAR FIN'!$A$1:$O$88,15,0)),0,VLOOKUP($U$508,'TAR FIN'!$A$1:$O$88,15,0))</f>
        <v>150.26</v>
      </c>
      <c r="Y508" s="4"/>
      <c r="Z508" s="4">
        <f ca="1">('TUSD BE'!$AM$48+'TUSD BF'!$AM$48+'TUSD CVA'!$AM$48)*1</f>
        <v>590.21277757372172</v>
      </c>
      <c r="AA508" s="4">
        <f>('TE BE'!$AB$38+'TE BF'!$AB$38+'TE CVA'!$AB$38)*1</f>
        <v>136.62265710865657</v>
      </c>
      <c r="AB508" s="4">
        <f>$K$508*$V$508</f>
        <v>0</v>
      </c>
      <c r="AC508" s="4">
        <f>$M$508*$W$508</f>
        <v>979.39044000000013</v>
      </c>
      <c r="AD508" s="4">
        <f>$O$508*$X$508</f>
        <v>293.45778000000001</v>
      </c>
      <c r="AE508" s="4">
        <f>$K$508*$Y$508</f>
        <v>0</v>
      </c>
      <c r="AF508" s="4">
        <f ca="1">$M$508*$Z$508</f>
        <v>1152.6855546014785</v>
      </c>
      <c r="AG508" s="4">
        <f>$O$508*$AA$508</f>
        <v>266.82404933320629</v>
      </c>
    </row>
    <row r="509" spans="1:33" ht="11.25" customHeight="1" x14ac:dyDescent="0.25">
      <c r="A509" s="3" t="s">
        <v>21</v>
      </c>
      <c r="B509" s="3" t="s">
        <v>33</v>
      </c>
      <c r="C509" s="3" t="s">
        <v>23</v>
      </c>
      <c r="D509" s="3" t="s">
        <v>45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44562</v>
      </c>
      <c r="J509" s="4">
        <v>0</v>
      </c>
      <c r="K509" s="4">
        <v>0</v>
      </c>
      <c r="L509" s="4">
        <v>72.534000000000006</v>
      </c>
      <c r="M509" s="4">
        <v>72.534000000000006</v>
      </c>
      <c r="N509" s="4">
        <v>72.534000000000006</v>
      </c>
      <c r="O509" s="4">
        <v>72.534000000000006</v>
      </c>
      <c r="P509" s="4">
        <v>125</v>
      </c>
      <c r="Q509" s="3" t="s">
        <v>26</v>
      </c>
      <c r="R509" s="3">
        <v>0</v>
      </c>
      <c r="S509" s="4">
        <v>0</v>
      </c>
      <c r="T509" s="4">
        <v>66</v>
      </c>
      <c r="U509" s="4">
        <v>10</v>
      </c>
      <c r="V509" s="4">
        <f>IF(ISERROR(VLOOKUP($S$509,'TAR FIN'!$A$1:$O$88,15,0)),0,VLOOKUP($S$509,'TAR FIN'!$A$1:$O$88,15,0))</f>
        <v>0</v>
      </c>
      <c r="W509" s="4">
        <f>IF(ISERROR(VLOOKUP($T$509,'TAR FIN'!$A$1:$O$88,15,0)),0,VLOOKUP($T$509,'TAR FIN'!$A$1:$O$88,15,0))</f>
        <v>501.48</v>
      </c>
      <c r="X509" s="4">
        <f>IF(ISERROR(VLOOKUP($U$509,'TAR FIN'!$A$1:$O$88,15,0)),0,VLOOKUP($U$509,'TAR FIN'!$A$1:$O$88,15,0))</f>
        <v>150.26</v>
      </c>
      <c r="Y509" s="4"/>
      <c r="Z509" s="4">
        <f ca="1">('TUSD BE'!$AM$48+'TUSD BF'!$AM$48+'TUSD CVA'!$AM$48)*1</f>
        <v>590.21277757372172</v>
      </c>
      <c r="AA509" s="4">
        <f>('TE BE'!$AB$38+'TE BF'!$AB$38+'TE CVA'!$AB$38)*1</f>
        <v>136.62265710865657</v>
      </c>
      <c r="AB509" s="4">
        <f>$K$509*$V$509</f>
        <v>0</v>
      </c>
      <c r="AC509" s="4">
        <f>$M$509*$W$509</f>
        <v>36374.350320000005</v>
      </c>
      <c r="AD509" s="4">
        <f>$O$509*$X$509</f>
        <v>10898.958840000001</v>
      </c>
      <c r="AE509" s="4">
        <f>$K$509*$Y$509</f>
        <v>0</v>
      </c>
      <c r="AF509" s="4">
        <f ca="1">$M$509*$Z$509</f>
        <v>42810.493608532335</v>
      </c>
      <c r="AG509" s="4">
        <f>$O$509*$AA$509</f>
        <v>9909.7878107192955</v>
      </c>
    </row>
    <row r="510" spans="1:33" ht="11.25" customHeight="1" x14ac:dyDescent="0.25">
      <c r="A510" s="3" t="s">
        <v>28</v>
      </c>
      <c r="B510" s="3" t="s">
        <v>33</v>
      </c>
      <c r="C510" s="3" t="s">
        <v>23</v>
      </c>
      <c r="D510" s="3" t="s">
        <v>45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44562</v>
      </c>
      <c r="J510" s="4">
        <v>0</v>
      </c>
      <c r="K510" s="4">
        <v>0</v>
      </c>
      <c r="L510" s="4">
        <v>0.2</v>
      </c>
      <c r="M510" s="4">
        <v>0.2</v>
      </c>
      <c r="N510" s="4">
        <v>0.2</v>
      </c>
      <c r="O510" s="4">
        <v>0.2</v>
      </c>
      <c r="P510" s="4">
        <v>2</v>
      </c>
      <c r="Q510" s="3" t="s">
        <v>26</v>
      </c>
      <c r="R510" s="3">
        <v>0</v>
      </c>
      <c r="S510" s="4">
        <v>0</v>
      </c>
      <c r="T510" s="4">
        <v>66</v>
      </c>
      <c r="U510" s="4">
        <v>10</v>
      </c>
      <c r="V510" s="4">
        <f>IF(ISERROR(VLOOKUP($S$510,'TAR FIN'!$A$1:$O$88,15,0)),0,VLOOKUP($S$510,'TAR FIN'!$A$1:$O$88,15,0))</f>
        <v>0</v>
      </c>
      <c r="W510" s="4">
        <f>IF(ISERROR(VLOOKUP($T$510,'TAR FIN'!$A$1:$O$88,15,0)),0,VLOOKUP($T$510,'TAR FIN'!$A$1:$O$88,15,0))</f>
        <v>501.48</v>
      </c>
      <c r="X510" s="4">
        <f>IF(ISERROR(VLOOKUP($U$510,'TAR FIN'!$A$1:$O$88,15,0)),0,VLOOKUP($U$510,'TAR FIN'!$A$1:$O$88,15,0))</f>
        <v>150.26</v>
      </c>
      <c r="Y510" s="4"/>
      <c r="Z510" s="4">
        <f ca="1">('TUSD BE'!$AM$48+'TUSD BF'!$AM$48+'TUSD CVA'!$AM$48)*1</f>
        <v>590.21277757372172</v>
      </c>
      <c r="AA510" s="4">
        <f>('TE BE'!$AB$38+'TE BF'!$AB$38+'TE CVA'!$AB$38)*1</f>
        <v>136.62265710865657</v>
      </c>
      <c r="AB510" s="4">
        <f>$K$510*$V$510</f>
        <v>0</v>
      </c>
      <c r="AC510" s="4">
        <f>$M$510*$W$510</f>
        <v>100.29600000000001</v>
      </c>
      <c r="AD510" s="4">
        <f>$O$510*$X$510</f>
        <v>30.052</v>
      </c>
      <c r="AE510" s="4">
        <f>$K$510*$Y$510</f>
        <v>0</v>
      </c>
      <c r="AF510" s="4">
        <f ca="1">$M$510*$Z$510</f>
        <v>118.04255551474435</v>
      </c>
      <c r="AG510" s="4">
        <f>$O$510*$AA$510</f>
        <v>27.324531421731315</v>
      </c>
    </row>
    <row r="511" spans="1:33" ht="11.25" customHeight="1" x14ac:dyDescent="0.25">
      <c r="A511" s="3" t="s">
        <v>21</v>
      </c>
      <c r="B511" s="3" t="s">
        <v>33</v>
      </c>
      <c r="C511" s="3" t="s">
        <v>23</v>
      </c>
      <c r="D511" s="3" t="s">
        <v>45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44593</v>
      </c>
      <c r="J511" s="4">
        <v>0</v>
      </c>
      <c r="K511" s="4">
        <v>0</v>
      </c>
      <c r="L511" s="4">
        <v>99.385999999999996</v>
      </c>
      <c r="M511" s="4">
        <v>99.385999999999996</v>
      </c>
      <c r="N511" s="4">
        <v>99.385999999999996</v>
      </c>
      <c r="O511" s="4">
        <v>99.385999999999996</v>
      </c>
      <c r="P511" s="4">
        <v>124</v>
      </c>
      <c r="Q511" s="3" t="s">
        <v>26</v>
      </c>
      <c r="R511" s="3">
        <v>0</v>
      </c>
      <c r="S511" s="4">
        <v>0</v>
      </c>
      <c r="T511" s="4">
        <v>66</v>
      </c>
      <c r="U511" s="4">
        <v>10</v>
      </c>
      <c r="V511" s="4">
        <f>IF(ISERROR(VLOOKUP($S$511,'TAR FIN'!$A$1:$O$88,15,0)),0,VLOOKUP($S$511,'TAR FIN'!$A$1:$O$88,15,0))</f>
        <v>0</v>
      </c>
      <c r="W511" s="4">
        <f>IF(ISERROR(VLOOKUP($T$511,'TAR FIN'!$A$1:$O$88,15,0)),0,VLOOKUP($T$511,'TAR FIN'!$A$1:$O$88,15,0))</f>
        <v>501.48</v>
      </c>
      <c r="X511" s="4">
        <f>IF(ISERROR(VLOOKUP($U$511,'TAR FIN'!$A$1:$O$88,15,0)),0,VLOOKUP($U$511,'TAR FIN'!$A$1:$O$88,15,0))</f>
        <v>150.26</v>
      </c>
      <c r="Y511" s="4"/>
      <c r="Z511" s="4">
        <f ca="1">('TUSD BE'!$AM$48+'TUSD BF'!$AM$48+'TUSD CVA'!$AM$48)*1</f>
        <v>590.21277757372172</v>
      </c>
      <c r="AA511" s="4">
        <f>('TE BE'!$AB$38+'TE BF'!$AB$38+'TE CVA'!$AB$38)*1</f>
        <v>136.62265710865657</v>
      </c>
      <c r="AB511" s="4">
        <f>$K$511*$V$511</f>
        <v>0</v>
      </c>
      <c r="AC511" s="4">
        <f>$M$511*$W$511</f>
        <v>49840.091280000001</v>
      </c>
      <c r="AD511" s="4">
        <f>$O$511*$X$511</f>
        <v>14933.740359999998</v>
      </c>
      <c r="AE511" s="4">
        <f>$K$511*$Y$511</f>
        <v>0</v>
      </c>
      <c r="AF511" s="4">
        <f ca="1">$M$511*$Z$511</f>
        <v>58658.887111941905</v>
      </c>
      <c r="AG511" s="4">
        <f>$O$511*$AA$511</f>
        <v>13578.379399400941</v>
      </c>
    </row>
    <row r="512" spans="1:33" ht="11.25" customHeight="1" x14ac:dyDescent="0.25">
      <c r="A512" s="3" t="s">
        <v>28</v>
      </c>
      <c r="B512" s="3" t="s">
        <v>33</v>
      </c>
      <c r="C512" s="3" t="s">
        <v>23</v>
      </c>
      <c r="D512" s="3" t="s">
        <v>45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44593</v>
      </c>
      <c r="J512" s="4">
        <v>0</v>
      </c>
      <c r="K512" s="4">
        <v>0</v>
      </c>
      <c r="L512" s="4">
        <v>0.749</v>
      </c>
      <c r="M512" s="4">
        <v>0.749</v>
      </c>
      <c r="N512" s="4">
        <v>0.749</v>
      </c>
      <c r="O512" s="4">
        <v>0.749</v>
      </c>
      <c r="P512" s="4">
        <v>2</v>
      </c>
      <c r="Q512" s="3" t="s">
        <v>26</v>
      </c>
      <c r="R512" s="3">
        <v>0</v>
      </c>
      <c r="S512" s="4">
        <v>0</v>
      </c>
      <c r="T512" s="4">
        <v>66</v>
      </c>
      <c r="U512" s="4">
        <v>10</v>
      </c>
      <c r="V512" s="4">
        <f>IF(ISERROR(VLOOKUP($S$512,'TAR FIN'!$A$1:$O$88,15,0)),0,VLOOKUP($S$512,'TAR FIN'!$A$1:$O$88,15,0))</f>
        <v>0</v>
      </c>
      <c r="W512" s="4">
        <f>IF(ISERROR(VLOOKUP($T$512,'TAR FIN'!$A$1:$O$88,15,0)),0,VLOOKUP($T$512,'TAR FIN'!$A$1:$O$88,15,0))</f>
        <v>501.48</v>
      </c>
      <c r="X512" s="4">
        <f>IF(ISERROR(VLOOKUP($U$512,'TAR FIN'!$A$1:$O$88,15,0)),0,VLOOKUP($U$512,'TAR FIN'!$A$1:$O$88,15,0))</f>
        <v>150.26</v>
      </c>
      <c r="Y512" s="4"/>
      <c r="Z512" s="4">
        <f ca="1">('TUSD BE'!$AM$48+'TUSD BF'!$AM$48+'TUSD CVA'!$AM$48)*1</f>
        <v>590.21277757372172</v>
      </c>
      <c r="AA512" s="4">
        <f>('TE BE'!$AB$38+'TE BF'!$AB$38+'TE CVA'!$AB$38)*1</f>
        <v>136.62265710865657</v>
      </c>
      <c r="AB512" s="4">
        <f>$K$512*$V$512</f>
        <v>0</v>
      </c>
      <c r="AC512" s="4">
        <f>$M$512*$W$512</f>
        <v>375.60852</v>
      </c>
      <c r="AD512" s="4">
        <f>$O$512*$X$512</f>
        <v>112.54473999999999</v>
      </c>
      <c r="AE512" s="4">
        <f>$K$512*$Y$512</f>
        <v>0</v>
      </c>
      <c r="AF512" s="4">
        <f ca="1">$M$512*$Z$512</f>
        <v>442.0693704027176</v>
      </c>
      <c r="AG512" s="4">
        <f>$O$512*$AA$512</f>
        <v>102.33037017438377</v>
      </c>
    </row>
    <row r="513" spans="1:33" ht="11.25" customHeight="1" x14ac:dyDescent="0.25">
      <c r="A513" s="3" t="s">
        <v>21</v>
      </c>
      <c r="B513" s="3" t="s">
        <v>33</v>
      </c>
      <c r="C513" s="3" t="s">
        <v>23</v>
      </c>
      <c r="D513" s="3" t="s">
        <v>45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44621</v>
      </c>
      <c r="J513" s="4">
        <v>0</v>
      </c>
      <c r="K513" s="4">
        <v>0</v>
      </c>
      <c r="L513" s="4">
        <v>115.595</v>
      </c>
      <c r="M513" s="4">
        <v>115.595</v>
      </c>
      <c r="N513" s="4">
        <v>115.595</v>
      </c>
      <c r="O513" s="4">
        <v>115.595</v>
      </c>
      <c r="P513" s="4">
        <v>125</v>
      </c>
      <c r="Q513" s="3" t="s">
        <v>26</v>
      </c>
      <c r="R513" s="3">
        <v>0</v>
      </c>
      <c r="S513" s="4">
        <v>0</v>
      </c>
      <c r="T513" s="4">
        <v>66</v>
      </c>
      <c r="U513" s="4">
        <v>10</v>
      </c>
      <c r="V513" s="4">
        <f>IF(ISERROR(VLOOKUP($S$513,'TAR FIN'!$A$1:$O$88,15,0)),0,VLOOKUP($S$513,'TAR FIN'!$A$1:$O$88,15,0))</f>
        <v>0</v>
      </c>
      <c r="W513" s="4">
        <f>IF(ISERROR(VLOOKUP($T$513,'TAR FIN'!$A$1:$O$88,15,0)),0,VLOOKUP($T$513,'TAR FIN'!$A$1:$O$88,15,0))</f>
        <v>501.48</v>
      </c>
      <c r="X513" s="4">
        <f>IF(ISERROR(VLOOKUP($U$513,'TAR FIN'!$A$1:$O$88,15,0)),0,VLOOKUP($U$513,'TAR FIN'!$A$1:$O$88,15,0))</f>
        <v>150.26</v>
      </c>
      <c r="Y513" s="4"/>
      <c r="Z513" s="4">
        <f ca="1">('TUSD BE'!$AM$48+'TUSD BF'!$AM$48+'TUSD CVA'!$AM$48)*1</f>
        <v>590.21277757372172</v>
      </c>
      <c r="AA513" s="4">
        <f>('TE BE'!$AB$38+'TE BF'!$AB$38+'TE CVA'!$AB$38)*1</f>
        <v>136.62265710865657</v>
      </c>
      <c r="AB513" s="4">
        <f>$K$513*$V$513</f>
        <v>0</v>
      </c>
      <c r="AC513" s="4">
        <f>$M$513*$W$513</f>
        <v>57968.580600000001</v>
      </c>
      <c r="AD513" s="4">
        <f>$O$513*$X$513</f>
        <v>17369.304700000001</v>
      </c>
      <c r="AE513" s="4">
        <f>$K$513*$Y$513</f>
        <v>0</v>
      </c>
      <c r="AF513" s="4">
        <f ca="1">$M$513*$Z$513</f>
        <v>68225.646023634356</v>
      </c>
      <c r="AG513" s="4">
        <f>$O$513*$AA$513</f>
        <v>15792.896048475155</v>
      </c>
    </row>
    <row r="514" spans="1:33" ht="11.25" customHeight="1" x14ac:dyDescent="0.25">
      <c r="A514" s="3" t="s">
        <v>28</v>
      </c>
      <c r="B514" s="3" t="s">
        <v>33</v>
      </c>
      <c r="C514" s="3" t="s">
        <v>23</v>
      </c>
      <c r="D514" s="3" t="s">
        <v>45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44621</v>
      </c>
      <c r="J514" s="4">
        <v>0</v>
      </c>
      <c r="K514" s="4">
        <v>0</v>
      </c>
      <c r="L514" s="4">
        <v>3.359</v>
      </c>
      <c r="M514" s="4">
        <v>3.359</v>
      </c>
      <c r="N514" s="4">
        <v>3.359</v>
      </c>
      <c r="O514" s="4">
        <v>3.359</v>
      </c>
      <c r="P514" s="4">
        <v>2</v>
      </c>
      <c r="Q514" s="3" t="s">
        <v>26</v>
      </c>
      <c r="R514" s="3">
        <v>0</v>
      </c>
      <c r="S514" s="4">
        <v>0</v>
      </c>
      <c r="T514" s="4">
        <v>66</v>
      </c>
      <c r="U514" s="4">
        <v>10</v>
      </c>
      <c r="V514" s="4">
        <f>IF(ISERROR(VLOOKUP($S$514,'TAR FIN'!$A$1:$O$88,15,0)),0,VLOOKUP($S$514,'TAR FIN'!$A$1:$O$88,15,0))</f>
        <v>0</v>
      </c>
      <c r="W514" s="4">
        <f>IF(ISERROR(VLOOKUP($T$514,'TAR FIN'!$A$1:$O$88,15,0)),0,VLOOKUP($T$514,'TAR FIN'!$A$1:$O$88,15,0))</f>
        <v>501.48</v>
      </c>
      <c r="X514" s="4">
        <f>IF(ISERROR(VLOOKUP($U$514,'TAR FIN'!$A$1:$O$88,15,0)),0,VLOOKUP($U$514,'TAR FIN'!$A$1:$O$88,15,0))</f>
        <v>150.26</v>
      </c>
      <c r="Y514" s="4"/>
      <c r="Z514" s="4">
        <f ca="1">('TUSD BE'!$AM$48+'TUSD BF'!$AM$48+'TUSD CVA'!$AM$48)*1</f>
        <v>590.21277757372172</v>
      </c>
      <c r="AA514" s="4">
        <f>('TE BE'!$AB$38+'TE BF'!$AB$38+'TE CVA'!$AB$38)*1</f>
        <v>136.62265710865657</v>
      </c>
      <c r="AB514" s="4">
        <f>$K$514*$V$514</f>
        <v>0</v>
      </c>
      <c r="AC514" s="4">
        <f>$M$514*$W$514</f>
        <v>1684.4713200000001</v>
      </c>
      <c r="AD514" s="4">
        <f>$O$514*$X$514</f>
        <v>504.72333999999995</v>
      </c>
      <c r="AE514" s="4">
        <f>$K$514*$Y$514</f>
        <v>0</v>
      </c>
      <c r="AF514" s="4">
        <f ca="1">$M$514*$Z$514</f>
        <v>1982.5247198701313</v>
      </c>
      <c r="AG514" s="4">
        <f>$O$514*$AA$514</f>
        <v>458.91550522797741</v>
      </c>
    </row>
    <row r="515" spans="1:33" ht="11.25" customHeight="1" x14ac:dyDescent="0.25">
      <c r="A515" s="3" t="s">
        <v>21</v>
      </c>
      <c r="B515" s="3" t="s">
        <v>33</v>
      </c>
      <c r="C515" s="3" t="s">
        <v>23</v>
      </c>
      <c r="D515" s="3" t="s">
        <v>45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44652</v>
      </c>
      <c r="J515" s="4">
        <v>0</v>
      </c>
      <c r="K515" s="4">
        <v>0</v>
      </c>
      <c r="L515" s="4">
        <v>81.400000000000006</v>
      </c>
      <c r="M515" s="4">
        <v>81.400000000000006</v>
      </c>
      <c r="N515" s="4">
        <v>81.400000000000006</v>
      </c>
      <c r="O515" s="4">
        <v>81.400000000000006</v>
      </c>
      <c r="P515" s="4">
        <v>128</v>
      </c>
      <c r="Q515" s="3" t="s">
        <v>26</v>
      </c>
      <c r="R515" s="3">
        <v>0</v>
      </c>
      <c r="S515" s="4">
        <v>0</v>
      </c>
      <c r="T515" s="4">
        <v>66</v>
      </c>
      <c r="U515" s="4">
        <v>10</v>
      </c>
      <c r="V515" s="4">
        <f>IF(ISERROR(VLOOKUP($S$515,'TAR FIN'!$A$1:$O$88,15,0)),0,VLOOKUP($S$515,'TAR FIN'!$A$1:$O$88,15,0))</f>
        <v>0</v>
      </c>
      <c r="W515" s="4">
        <f>IF(ISERROR(VLOOKUP($T$515,'TAR FIN'!$A$1:$O$88,15,0)),0,VLOOKUP($T$515,'TAR FIN'!$A$1:$O$88,15,0))</f>
        <v>501.48</v>
      </c>
      <c r="X515" s="4">
        <f>IF(ISERROR(VLOOKUP($U$515,'TAR FIN'!$A$1:$O$88,15,0)),0,VLOOKUP($U$515,'TAR FIN'!$A$1:$O$88,15,0))</f>
        <v>150.26</v>
      </c>
      <c r="Y515" s="4"/>
      <c r="Z515" s="4">
        <f ca="1">('TUSD BE'!$AM$48+'TUSD BF'!$AM$48+'TUSD CVA'!$AM$48)*1</f>
        <v>590.21277757372172</v>
      </c>
      <c r="AA515" s="4">
        <f>('TE BE'!$AB$38+'TE BF'!$AB$38+'TE CVA'!$AB$38)*1</f>
        <v>136.62265710865657</v>
      </c>
      <c r="AB515" s="4">
        <f>$K$515*$V$515</f>
        <v>0</v>
      </c>
      <c r="AC515" s="4">
        <f>$M$515*$W$515</f>
        <v>40820.472000000002</v>
      </c>
      <c r="AD515" s="4">
        <f>$O$515*$X$515</f>
        <v>12231.164000000001</v>
      </c>
      <c r="AE515" s="4">
        <f>$K$515*$Y$515</f>
        <v>0</v>
      </c>
      <c r="AF515" s="4">
        <f ca="1">$M$515*$Z$515</f>
        <v>48043.320094500952</v>
      </c>
      <c r="AG515" s="4">
        <f>$O$515*$AA$515</f>
        <v>11121.084288644646</v>
      </c>
    </row>
    <row r="516" spans="1:33" ht="11.25" customHeight="1" x14ac:dyDescent="0.25">
      <c r="A516" s="3" t="s">
        <v>28</v>
      </c>
      <c r="B516" s="3" t="s">
        <v>33</v>
      </c>
      <c r="C516" s="3" t="s">
        <v>23</v>
      </c>
      <c r="D516" s="3" t="s">
        <v>45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44652</v>
      </c>
      <c r="J516" s="4">
        <v>0</v>
      </c>
      <c r="K516" s="4">
        <v>0</v>
      </c>
      <c r="L516" s="4">
        <v>2.669</v>
      </c>
      <c r="M516" s="4">
        <v>2.669</v>
      </c>
      <c r="N516" s="4">
        <v>2.669</v>
      </c>
      <c r="O516" s="4">
        <v>2.669</v>
      </c>
      <c r="P516" s="4">
        <v>2</v>
      </c>
      <c r="Q516" s="3" t="s">
        <v>26</v>
      </c>
      <c r="R516" s="3">
        <v>0</v>
      </c>
      <c r="S516" s="4">
        <v>0</v>
      </c>
      <c r="T516" s="4">
        <v>66</v>
      </c>
      <c r="U516" s="4">
        <v>10</v>
      </c>
      <c r="V516" s="4">
        <f>IF(ISERROR(VLOOKUP($S$516,'TAR FIN'!$A$1:$O$88,15,0)),0,VLOOKUP($S$516,'TAR FIN'!$A$1:$O$88,15,0))</f>
        <v>0</v>
      </c>
      <c r="W516" s="4">
        <f>IF(ISERROR(VLOOKUP($T$516,'TAR FIN'!$A$1:$O$88,15,0)),0,VLOOKUP($T$516,'TAR FIN'!$A$1:$O$88,15,0))</f>
        <v>501.48</v>
      </c>
      <c r="X516" s="4">
        <f>IF(ISERROR(VLOOKUP($U$516,'TAR FIN'!$A$1:$O$88,15,0)),0,VLOOKUP($U$516,'TAR FIN'!$A$1:$O$88,15,0))</f>
        <v>150.26</v>
      </c>
      <c r="Y516" s="4"/>
      <c r="Z516" s="4">
        <f ca="1">('TUSD BE'!$AM$48+'TUSD BF'!$AM$48+'TUSD CVA'!$AM$48)*1</f>
        <v>590.21277757372172</v>
      </c>
      <c r="AA516" s="4">
        <f>('TE BE'!$AB$38+'TE BF'!$AB$38+'TE CVA'!$AB$38)*1</f>
        <v>136.62265710865657</v>
      </c>
      <c r="AB516" s="4">
        <f>$K$516*$V$516</f>
        <v>0</v>
      </c>
      <c r="AC516" s="4">
        <f>$M$516*$W$516</f>
        <v>1338.45012</v>
      </c>
      <c r="AD516" s="4">
        <f>$O$516*$X$516</f>
        <v>401.04393999999996</v>
      </c>
      <c r="AE516" s="4">
        <f>$K$516*$Y$516</f>
        <v>0</v>
      </c>
      <c r="AF516" s="4">
        <f ca="1">$M$516*$Z$516</f>
        <v>1575.2779033442632</v>
      </c>
      <c r="AG516" s="4">
        <f>$O$516*$AA$516</f>
        <v>364.64587182300437</v>
      </c>
    </row>
    <row r="517" spans="1:33" ht="11.25" customHeight="1" x14ac:dyDescent="0.25">
      <c r="A517" s="3" t="s">
        <v>21</v>
      </c>
      <c r="B517" s="3" t="s">
        <v>33</v>
      </c>
      <c r="C517" s="3" t="s">
        <v>23</v>
      </c>
      <c r="D517" s="3" t="s">
        <v>45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44682</v>
      </c>
      <c r="J517" s="4">
        <v>0</v>
      </c>
      <c r="K517" s="4">
        <v>0</v>
      </c>
      <c r="L517" s="4">
        <v>69.819000000000003</v>
      </c>
      <c r="M517" s="4">
        <v>69.819000000000003</v>
      </c>
      <c r="N517" s="4">
        <v>69.819000000000003</v>
      </c>
      <c r="O517" s="4">
        <v>69.819000000000003</v>
      </c>
      <c r="P517" s="4">
        <v>128</v>
      </c>
      <c r="Q517" s="3" t="s">
        <v>26</v>
      </c>
      <c r="R517" s="3">
        <v>0</v>
      </c>
      <c r="S517" s="4">
        <v>0</v>
      </c>
      <c r="T517" s="4">
        <v>66</v>
      </c>
      <c r="U517" s="4">
        <v>10</v>
      </c>
      <c r="V517" s="4">
        <f>IF(ISERROR(VLOOKUP($S$517,'TAR FIN'!$A$1:$O$88,15,0)),0,VLOOKUP($S$517,'TAR FIN'!$A$1:$O$88,15,0))</f>
        <v>0</v>
      </c>
      <c r="W517" s="4">
        <f>IF(ISERROR(VLOOKUP($T$517,'TAR FIN'!$A$1:$O$88,15,0)),0,VLOOKUP($T$517,'TAR FIN'!$A$1:$O$88,15,0))</f>
        <v>501.48</v>
      </c>
      <c r="X517" s="4">
        <f>IF(ISERROR(VLOOKUP($U$517,'TAR FIN'!$A$1:$O$88,15,0)),0,VLOOKUP($U$517,'TAR FIN'!$A$1:$O$88,15,0))</f>
        <v>150.26</v>
      </c>
      <c r="Y517" s="4"/>
      <c r="Z517" s="4">
        <f ca="1">('TUSD BE'!$AM$48+'TUSD BF'!$AM$48+'TUSD CVA'!$AM$48)*1</f>
        <v>590.21277757372172</v>
      </c>
      <c r="AA517" s="4">
        <f>('TE BE'!$AB$38+'TE BF'!$AB$38+'TE CVA'!$AB$38)*1</f>
        <v>136.62265710865657</v>
      </c>
      <c r="AB517" s="4">
        <f>$K$517*$V$517</f>
        <v>0</v>
      </c>
      <c r="AC517" s="4">
        <f>$M$517*$W$517</f>
        <v>35012.832119999999</v>
      </c>
      <c r="AD517" s="4">
        <f>$O$517*$X$517</f>
        <v>10491.00294</v>
      </c>
      <c r="AE517" s="4">
        <f>$K$517*$Y$517</f>
        <v>0</v>
      </c>
      <c r="AF517" s="4">
        <f ca="1">$M$517*$Z$517</f>
        <v>41208.065917419677</v>
      </c>
      <c r="AG517" s="4">
        <f>$O$517*$AA$517</f>
        <v>9538.8572966692936</v>
      </c>
    </row>
    <row r="518" spans="1:33" ht="11.25" customHeight="1" x14ac:dyDescent="0.25">
      <c r="A518" s="3" t="s">
        <v>28</v>
      </c>
      <c r="B518" s="3" t="s">
        <v>33</v>
      </c>
      <c r="C518" s="3" t="s">
        <v>23</v>
      </c>
      <c r="D518" s="3" t="s">
        <v>45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44682</v>
      </c>
      <c r="J518" s="4">
        <v>0</v>
      </c>
      <c r="K518" s="4">
        <v>0</v>
      </c>
      <c r="L518" s="4">
        <v>1.79</v>
      </c>
      <c r="M518" s="4">
        <v>1.79</v>
      </c>
      <c r="N518" s="4">
        <v>1.79</v>
      </c>
      <c r="O518" s="4">
        <v>1.79</v>
      </c>
      <c r="P518" s="4">
        <v>2</v>
      </c>
      <c r="Q518" s="3" t="s">
        <v>26</v>
      </c>
      <c r="R518" s="3">
        <v>0</v>
      </c>
      <c r="S518" s="4">
        <v>0</v>
      </c>
      <c r="T518" s="4">
        <v>66</v>
      </c>
      <c r="U518" s="4">
        <v>10</v>
      </c>
      <c r="V518" s="4">
        <f>IF(ISERROR(VLOOKUP($S$518,'TAR FIN'!$A$1:$O$88,15,0)),0,VLOOKUP($S$518,'TAR FIN'!$A$1:$O$88,15,0))</f>
        <v>0</v>
      </c>
      <c r="W518" s="4">
        <f>IF(ISERROR(VLOOKUP($T$518,'TAR FIN'!$A$1:$O$88,15,0)),0,VLOOKUP($T$518,'TAR FIN'!$A$1:$O$88,15,0))</f>
        <v>501.48</v>
      </c>
      <c r="X518" s="4">
        <f>IF(ISERROR(VLOOKUP($U$518,'TAR FIN'!$A$1:$O$88,15,0)),0,VLOOKUP($U$518,'TAR FIN'!$A$1:$O$88,15,0))</f>
        <v>150.26</v>
      </c>
      <c r="Y518" s="4"/>
      <c r="Z518" s="4">
        <f ca="1">('TUSD BE'!$AM$48+'TUSD BF'!$AM$48+'TUSD CVA'!$AM$48)*1</f>
        <v>590.21277757372172</v>
      </c>
      <c r="AA518" s="4">
        <f>('TE BE'!$AB$38+'TE BF'!$AB$38+'TE CVA'!$AB$38)*1</f>
        <v>136.62265710865657</v>
      </c>
      <c r="AB518" s="4">
        <f>$K$518*$V$518</f>
        <v>0</v>
      </c>
      <c r="AC518" s="4">
        <f>$M$518*$W$518</f>
        <v>897.64920000000006</v>
      </c>
      <c r="AD518" s="4">
        <f>$O$518*$X$518</f>
        <v>268.96539999999999</v>
      </c>
      <c r="AE518" s="4">
        <f>$K$518*$Y$518</f>
        <v>0</v>
      </c>
      <c r="AF518" s="4">
        <f ca="1">$M$518*$Z$518</f>
        <v>1056.4808718569618</v>
      </c>
      <c r="AG518" s="4">
        <f>$O$518*$AA$518</f>
        <v>244.55455622449526</v>
      </c>
    </row>
    <row r="519" spans="1:33" ht="11.25" customHeight="1" x14ac:dyDescent="0.25">
      <c r="A519" s="3" t="s">
        <v>21</v>
      </c>
      <c r="B519" s="3" t="s">
        <v>33</v>
      </c>
      <c r="C519" s="3" t="s">
        <v>23</v>
      </c>
      <c r="D519" s="3" t="s">
        <v>45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44713</v>
      </c>
      <c r="J519" s="4">
        <v>0</v>
      </c>
      <c r="K519" s="4">
        <v>0</v>
      </c>
      <c r="L519" s="4">
        <v>71.867999999999995</v>
      </c>
      <c r="M519" s="4">
        <v>71.867999999999995</v>
      </c>
      <c r="N519" s="4">
        <v>71.867999999999995</v>
      </c>
      <c r="O519" s="4">
        <v>71.867999999999995</v>
      </c>
      <c r="P519" s="4">
        <v>128</v>
      </c>
      <c r="Q519" s="3" t="s">
        <v>26</v>
      </c>
      <c r="R519" s="3">
        <v>0</v>
      </c>
      <c r="S519" s="4">
        <v>0</v>
      </c>
      <c r="T519" s="4">
        <v>66</v>
      </c>
      <c r="U519" s="4">
        <v>10</v>
      </c>
      <c r="V519" s="4">
        <f>IF(ISERROR(VLOOKUP($S$519,'TAR FIN'!$A$1:$O$88,15,0)),0,VLOOKUP($S$519,'TAR FIN'!$A$1:$O$88,15,0))</f>
        <v>0</v>
      </c>
      <c r="W519" s="4">
        <f>IF(ISERROR(VLOOKUP($T$519,'TAR FIN'!$A$1:$O$88,15,0)),0,VLOOKUP($T$519,'TAR FIN'!$A$1:$O$88,15,0))</f>
        <v>501.48</v>
      </c>
      <c r="X519" s="4">
        <f>IF(ISERROR(VLOOKUP($U$519,'TAR FIN'!$A$1:$O$88,15,0)),0,VLOOKUP($U$519,'TAR FIN'!$A$1:$O$88,15,0))</f>
        <v>150.26</v>
      </c>
      <c r="Y519" s="4"/>
      <c r="Z519" s="4">
        <f ca="1">('TUSD BE'!$AM$48+'TUSD BF'!$AM$48+'TUSD CVA'!$AM$48)*1</f>
        <v>590.21277757372172</v>
      </c>
      <c r="AA519" s="4">
        <f>('TE BE'!$AB$38+'TE BF'!$AB$38+'TE CVA'!$AB$38)*1</f>
        <v>136.62265710865657</v>
      </c>
      <c r="AB519" s="4">
        <f>$K$519*$V$519</f>
        <v>0</v>
      </c>
      <c r="AC519" s="4">
        <f>$M$519*$W$519</f>
        <v>36040.36464</v>
      </c>
      <c r="AD519" s="4">
        <f>$O$519*$X$519</f>
        <v>10798.885679999999</v>
      </c>
      <c r="AE519" s="4">
        <f>$K$519*$Y$519</f>
        <v>0</v>
      </c>
      <c r="AF519" s="4">
        <f ca="1">$M$519*$Z$519</f>
        <v>42417.41189866823</v>
      </c>
      <c r="AG519" s="4">
        <f>$O$519*$AA$519</f>
        <v>9818.79712108493</v>
      </c>
    </row>
    <row r="520" spans="1:33" ht="11.25" customHeight="1" x14ac:dyDescent="0.25">
      <c r="A520" s="3" t="s">
        <v>28</v>
      </c>
      <c r="B520" s="3" t="s">
        <v>33</v>
      </c>
      <c r="C520" s="3" t="s">
        <v>23</v>
      </c>
      <c r="D520" s="3" t="s">
        <v>45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44713</v>
      </c>
      <c r="J520" s="4">
        <v>0</v>
      </c>
      <c r="K520" s="4">
        <v>0</v>
      </c>
      <c r="L520" s="4">
        <v>0.66300000000000003</v>
      </c>
      <c r="M520" s="4">
        <v>0.66300000000000003</v>
      </c>
      <c r="N520" s="4">
        <v>0.66300000000000003</v>
      </c>
      <c r="O520" s="4">
        <v>0.66300000000000003</v>
      </c>
      <c r="P520" s="4">
        <v>2</v>
      </c>
      <c r="Q520" s="3" t="s">
        <v>26</v>
      </c>
      <c r="R520" s="3">
        <v>0</v>
      </c>
      <c r="S520" s="4">
        <v>0</v>
      </c>
      <c r="T520" s="4">
        <v>66</v>
      </c>
      <c r="U520" s="4">
        <v>10</v>
      </c>
      <c r="V520" s="4">
        <f>IF(ISERROR(VLOOKUP($S$520,'TAR FIN'!$A$1:$O$88,15,0)),0,VLOOKUP($S$520,'TAR FIN'!$A$1:$O$88,15,0))</f>
        <v>0</v>
      </c>
      <c r="W520" s="4">
        <f>IF(ISERROR(VLOOKUP($T$520,'TAR FIN'!$A$1:$O$88,15,0)),0,VLOOKUP($T$520,'TAR FIN'!$A$1:$O$88,15,0))</f>
        <v>501.48</v>
      </c>
      <c r="X520" s="4">
        <f>IF(ISERROR(VLOOKUP($U$520,'TAR FIN'!$A$1:$O$88,15,0)),0,VLOOKUP($U$520,'TAR FIN'!$A$1:$O$88,15,0))</f>
        <v>150.26</v>
      </c>
      <c r="Y520" s="4"/>
      <c r="Z520" s="4">
        <f ca="1">('TUSD BE'!$AM$48+'TUSD BF'!$AM$48+'TUSD CVA'!$AM$48)*1</f>
        <v>590.21277757372172</v>
      </c>
      <c r="AA520" s="4">
        <f>('TE BE'!$AB$38+'TE BF'!$AB$38+'TE CVA'!$AB$38)*1</f>
        <v>136.62265710865657</v>
      </c>
      <c r="AB520" s="4">
        <f>$K$520*$V$520</f>
        <v>0</v>
      </c>
      <c r="AC520" s="4">
        <f>$M$520*$W$520</f>
        <v>332.48124000000001</v>
      </c>
      <c r="AD520" s="4">
        <f>$O$520*$X$520</f>
        <v>99.622379999999993</v>
      </c>
      <c r="AE520" s="4">
        <f>$K$520*$Y$520</f>
        <v>0</v>
      </c>
      <c r="AF520" s="4">
        <f ca="1">$M$520*$Z$520</f>
        <v>391.31107153137754</v>
      </c>
      <c r="AG520" s="4">
        <f>$O$520*$AA$520</f>
        <v>90.580821663039316</v>
      </c>
    </row>
    <row r="521" spans="1:33" ht="11.25" customHeight="1" x14ac:dyDescent="0.25">
      <c r="A521" s="3" t="s">
        <v>21</v>
      </c>
      <c r="B521" s="3" t="s">
        <v>33</v>
      </c>
      <c r="C521" s="3" t="s">
        <v>23</v>
      </c>
      <c r="D521" s="3" t="s">
        <v>45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44743</v>
      </c>
      <c r="J521" s="4">
        <v>0</v>
      </c>
      <c r="K521" s="4">
        <v>0</v>
      </c>
      <c r="L521" s="4">
        <v>65.524000000000001</v>
      </c>
      <c r="M521" s="4">
        <v>65.524000000000001</v>
      </c>
      <c r="N521" s="4">
        <v>65.524000000000001</v>
      </c>
      <c r="O521" s="4">
        <v>65.524000000000001</v>
      </c>
      <c r="P521" s="4">
        <v>128</v>
      </c>
      <c r="Q521" s="3" t="s">
        <v>26</v>
      </c>
      <c r="R521" s="3">
        <v>0</v>
      </c>
      <c r="S521" s="4">
        <v>0</v>
      </c>
      <c r="T521" s="4">
        <v>66</v>
      </c>
      <c r="U521" s="4">
        <v>10</v>
      </c>
      <c r="V521" s="4">
        <f>IF(ISERROR(VLOOKUP($S$521,'TAR FIN'!$A$1:$O$88,15,0)),0,VLOOKUP($S$521,'TAR FIN'!$A$1:$O$88,15,0))</f>
        <v>0</v>
      </c>
      <c r="W521" s="4">
        <f>IF(ISERROR(VLOOKUP($T$521,'TAR FIN'!$A$1:$O$88,15,0)),0,VLOOKUP($T$521,'TAR FIN'!$A$1:$O$88,15,0))</f>
        <v>501.48</v>
      </c>
      <c r="X521" s="4">
        <f>IF(ISERROR(VLOOKUP($U$521,'TAR FIN'!$A$1:$O$88,15,0)),0,VLOOKUP($U$521,'TAR FIN'!$A$1:$O$88,15,0))</f>
        <v>150.26</v>
      </c>
      <c r="Y521" s="4"/>
      <c r="Z521" s="4">
        <f ca="1">('TUSD BE'!$AM$48+'TUSD BF'!$AM$48+'TUSD CVA'!$AM$48)*1</f>
        <v>590.21277757372172</v>
      </c>
      <c r="AA521" s="4">
        <f>('TE BE'!$AB$38+'TE BF'!$AB$38+'TE CVA'!$AB$38)*1</f>
        <v>136.62265710865657</v>
      </c>
      <c r="AB521" s="4">
        <f>$K$521*$V$521</f>
        <v>0</v>
      </c>
      <c r="AC521" s="4">
        <f>$M$521*$W$521</f>
        <v>32858.97552</v>
      </c>
      <c r="AD521" s="4">
        <f>$O$521*$X$521</f>
        <v>9845.6362399999998</v>
      </c>
      <c r="AE521" s="4">
        <f>$K$521*$Y$521</f>
        <v>0</v>
      </c>
      <c r="AF521" s="4">
        <f ca="1">$M$521*$Z$521</f>
        <v>38673.102037740544</v>
      </c>
      <c r="AG521" s="4">
        <f>$O$521*$AA$521</f>
        <v>8952.0629843876122</v>
      </c>
    </row>
    <row r="522" spans="1:33" ht="11.25" customHeight="1" x14ac:dyDescent="0.25">
      <c r="A522" s="3" t="s">
        <v>28</v>
      </c>
      <c r="B522" s="3" t="s">
        <v>33</v>
      </c>
      <c r="C522" s="3" t="s">
        <v>23</v>
      </c>
      <c r="D522" s="3" t="s">
        <v>45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44743</v>
      </c>
      <c r="J522" s="4">
        <v>0</v>
      </c>
      <c r="K522" s="4">
        <v>0</v>
      </c>
      <c r="L522" s="4">
        <v>0.48799999999999999</v>
      </c>
      <c r="M522" s="4">
        <v>0.48799999999999999</v>
      </c>
      <c r="N522" s="4">
        <v>0.48799999999999999</v>
      </c>
      <c r="O522" s="4">
        <v>0.48799999999999999</v>
      </c>
      <c r="P522" s="4">
        <v>2</v>
      </c>
      <c r="Q522" s="3" t="s">
        <v>26</v>
      </c>
      <c r="R522" s="3">
        <v>0</v>
      </c>
      <c r="S522" s="4">
        <v>0</v>
      </c>
      <c r="T522" s="4">
        <v>66</v>
      </c>
      <c r="U522" s="4">
        <v>10</v>
      </c>
      <c r="V522" s="4">
        <f>IF(ISERROR(VLOOKUP($S$522,'TAR FIN'!$A$1:$O$88,15,0)),0,VLOOKUP($S$522,'TAR FIN'!$A$1:$O$88,15,0))</f>
        <v>0</v>
      </c>
      <c r="W522" s="4">
        <f>IF(ISERROR(VLOOKUP($T$522,'TAR FIN'!$A$1:$O$88,15,0)),0,VLOOKUP($T$522,'TAR FIN'!$A$1:$O$88,15,0))</f>
        <v>501.48</v>
      </c>
      <c r="X522" s="4">
        <f>IF(ISERROR(VLOOKUP($U$522,'TAR FIN'!$A$1:$O$88,15,0)),0,VLOOKUP($U$522,'TAR FIN'!$A$1:$O$88,15,0))</f>
        <v>150.26</v>
      </c>
      <c r="Y522" s="4"/>
      <c r="Z522" s="4">
        <f ca="1">('TUSD BE'!$AM$48+'TUSD BF'!$AM$48+'TUSD CVA'!$AM$48)*1</f>
        <v>590.21277757372172</v>
      </c>
      <c r="AA522" s="4">
        <f>('TE BE'!$AB$38+'TE BF'!$AB$38+'TE CVA'!$AB$38)*1</f>
        <v>136.62265710865657</v>
      </c>
      <c r="AB522" s="4">
        <f>$K$522*$V$522</f>
        <v>0</v>
      </c>
      <c r="AC522" s="4">
        <f>$M$522*$W$522</f>
        <v>244.72224</v>
      </c>
      <c r="AD522" s="4">
        <f>$O$522*$X$522</f>
        <v>73.326879999999989</v>
      </c>
      <c r="AE522" s="4">
        <f>$K$522*$Y$522</f>
        <v>0</v>
      </c>
      <c r="AF522" s="4">
        <f ca="1">$M$522*$Z$522</f>
        <v>288.02383545597621</v>
      </c>
      <c r="AG522" s="4">
        <f>$O$522*$AA$522</f>
        <v>66.671856669024407</v>
      </c>
    </row>
    <row r="523" spans="1:33" ht="11.25" customHeight="1" x14ac:dyDescent="0.25">
      <c r="A523" s="3" t="s">
        <v>55</v>
      </c>
      <c r="B523" s="3" t="s">
        <v>33</v>
      </c>
      <c r="C523" s="3" t="s">
        <v>23</v>
      </c>
      <c r="D523" s="3" t="s">
        <v>45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44774</v>
      </c>
      <c r="J523" s="4">
        <v>0</v>
      </c>
      <c r="K523" s="4">
        <v>0</v>
      </c>
      <c r="L523" s="4">
        <v>65.524000000000001</v>
      </c>
      <c r="M523" s="4">
        <v>65.524000000000001</v>
      </c>
      <c r="N523" s="4">
        <v>65.524000000000001</v>
      </c>
      <c r="O523" s="4">
        <v>65.524000000000001</v>
      </c>
      <c r="P523" s="4">
        <v>128</v>
      </c>
      <c r="Q523" s="3" t="s">
        <v>26</v>
      </c>
      <c r="R523" s="3">
        <v>0</v>
      </c>
      <c r="S523" s="4">
        <v>0</v>
      </c>
      <c r="T523" s="4">
        <v>66</v>
      </c>
      <c r="U523" s="4">
        <v>10</v>
      </c>
      <c r="V523" s="4">
        <f>IF(ISERROR(VLOOKUP($S$523,'TAR FIN'!$A$1:$O$88,15,0)),0,VLOOKUP($S$523,'TAR FIN'!$A$1:$O$88,15,0))</f>
        <v>0</v>
      </c>
      <c r="W523" s="4">
        <f>IF(ISERROR(VLOOKUP($T$523,'TAR FIN'!$A$1:$O$88,15,0)),0,VLOOKUP($T$523,'TAR FIN'!$A$1:$O$88,15,0))</f>
        <v>501.48</v>
      </c>
      <c r="X523" s="4">
        <f>IF(ISERROR(VLOOKUP($U$523,'TAR FIN'!$A$1:$O$88,15,0)),0,VLOOKUP($U$523,'TAR FIN'!$A$1:$O$88,15,0))</f>
        <v>150.26</v>
      </c>
      <c r="Y523" s="4"/>
      <c r="Z523" s="4">
        <f ca="1">('TUSD BE'!$AM$48+'TUSD BF'!$AM$48+'TUSD CVA'!$AM$48)*1</f>
        <v>590.21277757372172</v>
      </c>
      <c r="AA523" s="4">
        <f>('TE BE'!$AB$38+'TE BF'!$AB$38+'TE CVA'!$AB$38)*1</f>
        <v>136.62265710865657</v>
      </c>
      <c r="AB523" s="4">
        <f>$K$523*$V$523</f>
        <v>0</v>
      </c>
      <c r="AC523" s="4">
        <f>$M$523*$W$523</f>
        <v>32858.97552</v>
      </c>
      <c r="AD523" s="4">
        <f>$O$523*$X$523</f>
        <v>9845.6362399999998</v>
      </c>
      <c r="AE523" s="4">
        <f>$K$523*$Y$523</f>
        <v>0</v>
      </c>
      <c r="AF523" s="4">
        <f ca="1">$M$523*$Z$523</f>
        <v>38673.102037740544</v>
      </c>
      <c r="AG523" s="4">
        <f>$O$523*$AA$523</f>
        <v>8952.0629843876122</v>
      </c>
    </row>
    <row r="524" spans="1:33" ht="11.25" customHeight="1" x14ac:dyDescent="0.25">
      <c r="A524" s="3" t="s">
        <v>55</v>
      </c>
      <c r="B524" s="3" t="s">
        <v>33</v>
      </c>
      <c r="C524" s="3" t="s">
        <v>23</v>
      </c>
      <c r="D524" s="3" t="s">
        <v>45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44774</v>
      </c>
      <c r="J524" s="4">
        <v>0</v>
      </c>
      <c r="K524" s="4">
        <v>0</v>
      </c>
      <c r="L524" s="4">
        <v>0.48799999999999999</v>
      </c>
      <c r="M524" s="4">
        <v>0.48799999999999999</v>
      </c>
      <c r="N524" s="4">
        <v>0.48799999999999999</v>
      </c>
      <c r="O524" s="4">
        <v>0.48799999999999999</v>
      </c>
      <c r="P524" s="4">
        <v>2</v>
      </c>
      <c r="Q524" s="3" t="s">
        <v>26</v>
      </c>
      <c r="R524" s="3">
        <v>0</v>
      </c>
      <c r="S524" s="4">
        <v>0</v>
      </c>
      <c r="T524" s="4">
        <v>66</v>
      </c>
      <c r="U524" s="4">
        <v>10</v>
      </c>
      <c r="V524" s="4">
        <f>IF(ISERROR(VLOOKUP($S$524,'TAR FIN'!$A$1:$O$88,15,0)),0,VLOOKUP($S$524,'TAR FIN'!$A$1:$O$88,15,0))</f>
        <v>0</v>
      </c>
      <c r="W524" s="4">
        <f>IF(ISERROR(VLOOKUP($T$524,'TAR FIN'!$A$1:$O$88,15,0)),0,VLOOKUP($T$524,'TAR FIN'!$A$1:$O$88,15,0))</f>
        <v>501.48</v>
      </c>
      <c r="X524" s="4">
        <f>IF(ISERROR(VLOOKUP($U$524,'TAR FIN'!$A$1:$O$88,15,0)),0,VLOOKUP($U$524,'TAR FIN'!$A$1:$O$88,15,0))</f>
        <v>150.26</v>
      </c>
      <c r="Y524" s="4"/>
      <c r="Z524" s="4">
        <f ca="1">('TUSD BE'!$AM$48+'TUSD BF'!$AM$48+'TUSD CVA'!$AM$48)*1</f>
        <v>590.21277757372172</v>
      </c>
      <c r="AA524" s="4">
        <f>('TE BE'!$AB$38+'TE BF'!$AB$38+'TE CVA'!$AB$38)*1</f>
        <v>136.62265710865657</v>
      </c>
      <c r="AB524" s="4">
        <f>$K$524*$V$524</f>
        <v>0</v>
      </c>
      <c r="AC524" s="4">
        <f>$M$524*$W$524</f>
        <v>244.72224</v>
      </c>
      <c r="AD524" s="4">
        <f>$O$524*$X$524</f>
        <v>73.326879999999989</v>
      </c>
      <c r="AE524" s="4">
        <f>$K$524*$Y$524</f>
        <v>0</v>
      </c>
      <c r="AF524" s="4">
        <f ca="1">$M$524*$Z$524</f>
        <v>288.02383545597621</v>
      </c>
      <c r="AG524" s="4">
        <f>$O$524*$AA$524</f>
        <v>66.671856669024407</v>
      </c>
    </row>
    <row r="525" spans="1:33" ht="11.25" customHeight="1" x14ac:dyDescent="0.25">
      <c r="A525" s="3" t="s">
        <v>21</v>
      </c>
      <c r="B525" s="3" t="s">
        <v>33</v>
      </c>
      <c r="C525" s="3" t="s">
        <v>23</v>
      </c>
      <c r="D525" s="3" t="s">
        <v>49</v>
      </c>
      <c r="E525" s="3" t="s">
        <v>50</v>
      </c>
      <c r="F525" s="3" t="s">
        <v>25</v>
      </c>
      <c r="G525" s="3" t="s">
        <v>25</v>
      </c>
      <c r="H525" s="3" t="s">
        <v>25</v>
      </c>
      <c r="I525" s="6">
        <v>44440</v>
      </c>
      <c r="J525" s="4">
        <v>0</v>
      </c>
      <c r="K525" s="58">
        <v>0</v>
      </c>
      <c r="L525" s="4">
        <v>17.172999999999998</v>
      </c>
      <c r="M525" s="58">
        <v>17.172999999999998</v>
      </c>
      <c r="N525" s="4">
        <v>17.172999999999998</v>
      </c>
      <c r="O525" s="58">
        <v>17.172999999999998</v>
      </c>
      <c r="P525" s="4">
        <v>33</v>
      </c>
      <c r="Q525" s="3" t="s">
        <v>26</v>
      </c>
      <c r="R525" s="3">
        <v>0</v>
      </c>
      <c r="S525" s="4">
        <v>0</v>
      </c>
      <c r="T525" s="4">
        <v>66</v>
      </c>
      <c r="U525" s="4">
        <v>10</v>
      </c>
      <c r="V525" s="58">
        <f>IF(ISERROR(VLOOKUP($S$525,'TAR FIN'!$A$1:$O$88,15,0)),0,VLOOKUP($S$525,'TAR FIN'!$A$1:$O$88,15,0))</f>
        <v>0</v>
      </c>
      <c r="W525" s="58">
        <f>IF(ISERROR(VLOOKUP($T$525,'TAR FIN'!$A$1:$O$88,15,0)),0,VLOOKUP($T$525,'TAR FIN'!$A$1:$O$88,15,0))*(1-0.06)</f>
        <v>471.39119999999997</v>
      </c>
      <c r="X525" s="58">
        <f>IF(ISERROR(VLOOKUP($U$525,'TAR FIN'!$A$1:$O$88,15,0)),0,VLOOKUP($U$525,'TAR FIN'!$A$1:$O$88,15,0))*(1-0.06)</f>
        <v>141.24439999999998</v>
      </c>
      <c r="Y525" s="58"/>
      <c r="Z525" s="58">
        <f ca="1">('TUSD BE'!$AM$48+'TUSD BF'!$AM$48+'TUSD CVA'!$AM$48)*1*(1-0.03)</f>
        <v>572.50639424651001</v>
      </c>
      <c r="AA525" s="58">
        <f>('TE BE'!$AB$38+'TE BF'!$AB$38+'TE CVA'!$AB$38)*1*(1-0.03)</f>
        <v>132.52397739539686</v>
      </c>
      <c r="AB525" s="4">
        <f>$K$525*$V$525</f>
        <v>0</v>
      </c>
      <c r="AC525" s="4">
        <f>$M$525*$W$525</f>
        <v>8095.2010775999988</v>
      </c>
      <c r="AD525" s="4">
        <f>$O$525*$X$525</f>
        <v>2425.5900811999995</v>
      </c>
      <c r="AE525" s="4">
        <f>$K$525*$Y$525</f>
        <v>0</v>
      </c>
      <c r="AF525" s="4">
        <f ca="1">$M$525*$Z$525</f>
        <v>9831.6523083953161</v>
      </c>
      <c r="AG525" s="4">
        <f>$O$525*$AA$525</f>
        <v>2275.8342638111499</v>
      </c>
    </row>
    <row r="526" spans="1:33" ht="11.25" customHeight="1" x14ac:dyDescent="0.25">
      <c r="A526" s="3" t="s">
        <v>21</v>
      </c>
      <c r="B526" s="3" t="s">
        <v>33</v>
      </c>
      <c r="C526" s="3" t="s">
        <v>23</v>
      </c>
      <c r="D526" s="3" t="s">
        <v>49</v>
      </c>
      <c r="E526" s="3" t="s">
        <v>50</v>
      </c>
      <c r="F526" s="3" t="s">
        <v>25</v>
      </c>
      <c r="G526" s="3" t="s">
        <v>25</v>
      </c>
      <c r="H526" s="3" t="s">
        <v>25</v>
      </c>
      <c r="I526" s="6">
        <v>44470</v>
      </c>
      <c r="J526" s="4">
        <v>0</v>
      </c>
      <c r="K526" s="58">
        <v>0</v>
      </c>
      <c r="L526" s="4">
        <v>16.812000000000001</v>
      </c>
      <c r="M526" s="58">
        <v>16.812000000000001</v>
      </c>
      <c r="N526" s="4">
        <v>16.812000000000001</v>
      </c>
      <c r="O526" s="58">
        <v>16.812000000000001</v>
      </c>
      <c r="P526" s="4">
        <v>33</v>
      </c>
      <c r="Q526" s="3" t="s">
        <v>26</v>
      </c>
      <c r="R526" s="3">
        <v>0</v>
      </c>
      <c r="S526" s="4">
        <v>0</v>
      </c>
      <c r="T526" s="4">
        <v>66</v>
      </c>
      <c r="U526" s="4">
        <v>10</v>
      </c>
      <c r="V526" s="58">
        <f>IF(ISERROR(VLOOKUP($S$526,'TAR FIN'!$A$1:$O$88,15,0)),0,VLOOKUP($S$526,'TAR FIN'!$A$1:$O$88,15,0))</f>
        <v>0</v>
      </c>
      <c r="W526" s="58">
        <f>IF(ISERROR(VLOOKUP($T$526,'TAR FIN'!$A$1:$O$88,15,0)),0,VLOOKUP($T$526,'TAR FIN'!$A$1:$O$88,15,0))*(1-0.06)</f>
        <v>471.39119999999997</v>
      </c>
      <c r="X526" s="58">
        <f>IF(ISERROR(VLOOKUP($U$526,'TAR FIN'!$A$1:$O$88,15,0)),0,VLOOKUP($U$526,'TAR FIN'!$A$1:$O$88,15,0))*(1-0.06)</f>
        <v>141.24439999999998</v>
      </c>
      <c r="Y526" s="58"/>
      <c r="Z526" s="58">
        <f ca="1">('TUSD BE'!$AM$48+'TUSD BF'!$AM$48+'TUSD CVA'!$AM$48)*1*(1-0.03)</f>
        <v>572.50639424651001</v>
      </c>
      <c r="AA526" s="58">
        <f>('TE BE'!$AB$38+'TE BF'!$AB$38+'TE CVA'!$AB$38)*1*(1-0.03)</f>
        <v>132.52397739539686</v>
      </c>
      <c r="AB526" s="4">
        <f>$K$526*$V$526</f>
        <v>0</v>
      </c>
      <c r="AC526" s="4">
        <f>$M$526*$W$526</f>
        <v>7925.0288544000005</v>
      </c>
      <c r="AD526" s="4">
        <f>$O$526*$X$526</f>
        <v>2374.6008527999998</v>
      </c>
      <c r="AE526" s="4">
        <f>$K$526*$Y$526</f>
        <v>0</v>
      </c>
      <c r="AF526" s="4">
        <f ca="1">$M$526*$Z$526</f>
        <v>9624.9775000723275</v>
      </c>
      <c r="AG526" s="4">
        <f>$O$526*$AA$526</f>
        <v>2227.993107971412</v>
      </c>
    </row>
    <row r="527" spans="1:33" ht="11.25" customHeight="1" x14ac:dyDescent="0.25">
      <c r="A527" s="3" t="s">
        <v>21</v>
      </c>
      <c r="B527" s="3" t="s">
        <v>33</v>
      </c>
      <c r="C527" s="3" t="s">
        <v>23</v>
      </c>
      <c r="D527" s="3" t="s">
        <v>49</v>
      </c>
      <c r="E527" s="3" t="s">
        <v>50</v>
      </c>
      <c r="F527" s="3" t="s">
        <v>25</v>
      </c>
      <c r="G527" s="3" t="s">
        <v>25</v>
      </c>
      <c r="H527" s="3" t="s">
        <v>25</v>
      </c>
      <c r="I527" s="6">
        <v>44501</v>
      </c>
      <c r="J527" s="4">
        <v>0</v>
      </c>
      <c r="K527" s="58">
        <v>0</v>
      </c>
      <c r="L527" s="4">
        <v>18.056999999999999</v>
      </c>
      <c r="M527" s="58">
        <v>18.056999999999999</v>
      </c>
      <c r="N527" s="4">
        <v>18.056999999999999</v>
      </c>
      <c r="O527" s="58">
        <v>18.056999999999999</v>
      </c>
      <c r="P527" s="4">
        <v>33</v>
      </c>
      <c r="Q527" s="3" t="s">
        <v>26</v>
      </c>
      <c r="R527" s="3">
        <v>0</v>
      </c>
      <c r="S527" s="4">
        <v>0</v>
      </c>
      <c r="T527" s="4">
        <v>66</v>
      </c>
      <c r="U527" s="4">
        <v>10</v>
      </c>
      <c r="V527" s="58">
        <f>IF(ISERROR(VLOOKUP($S$527,'TAR FIN'!$A$1:$O$88,15,0)),0,VLOOKUP($S$527,'TAR FIN'!$A$1:$O$88,15,0))</f>
        <v>0</v>
      </c>
      <c r="W527" s="58">
        <f>IF(ISERROR(VLOOKUP($T$527,'TAR FIN'!$A$1:$O$88,15,0)),0,VLOOKUP($T$527,'TAR FIN'!$A$1:$O$88,15,0))*(1-0.06)</f>
        <v>471.39119999999997</v>
      </c>
      <c r="X527" s="58">
        <f>IF(ISERROR(VLOOKUP($U$527,'TAR FIN'!$A$1:$O$88,15,0)),0,VLOOKUP($U$527,'TAR FIN'!$A$1:$O$88,15,0))*(1-0.06)</f>
        <v>141.24439999999998</v>
      </c>
      <c r="Y527" s="58"/>
      <c r="Z527" s="58">
        <f ca="1">('TUSD BE'!$AM$48+'TUSD BF'!$AM$48+'TUSD CVA'!$AM$48)*1*(1-0.03)</f>
        <v>572.50639424651001</v>
      </c>
      <c r="AA527" s="58">
        <f>('TE BE'!$AB$38+'TE BF'!$AB$38+'TE CVA'!$AB$38)*1*(1-0.03)</f>
        <v>132.52397739539686</v>
      </c>
      <c r="AB527" s="4">
        <f>$K$527*$V$527</f>
        <v>0</v>
      </c>
      <c r="AC527" s="4">
        <f>$M$527*$W$527</f>
        <v>8511.9108983999995</v>
      </c>
      <c r="AD527" s="4">
        <f>$O$527*$X$527</f>
        <v>2550.4501307999994</v>
      </c>
      <c r="AE527" s="4">
        <f>$K$527*$Y$527</f>
        <v>0</v>
      </c>
      <c r="AF527" s="4">
        <f ca="1">$M$527*$Z$527</f>
        <v>10337.74796090923</v>
      </c>
      <c r="AG527" s="4">
        <f>$O$527*$AA$527</f>
        <v>2392.9854598286806</v>
      </c>
    </row>
    <row r="528" spans="1:33" ht="11.25" customHeight="1" x14ac:dyDescent="0.25">
      <c r="A528" s="3" t="s">
        <v>21</v>
      </c>
      <c r="B528" s="3" t="s">
        <v>33</v>
      </c>
      <c r="C528" s="3" t="s">
        <v>23</v>
      </c>
      <c r="D528" s="3" t="s">
        <v>49</v>
      </c>
      <c r="E528" s="3" t="s">
        <v>50</v>
      </c>
      <c r="F528" s="3" t="s">
        <v>25</v>
      </c>
      <c r="G528" s="3" t="s">
        <v>25</v>
      </c>
      <c r="H528" s="3" t="s">
        <v>25</v>
      </c>
      <c r="I528" s="6">
        <v>44531</v>
      </c>
      <c r="J528" s="4">
        <v>0</v>
      </c>
      <c r="K528" s="58">
        <v>0</v>
      </c>
      <c r="L528" s="4">
        <v>18.302</v>
      </c>
      <c r="M528" s="58">
        <v>18.302</v>
      </c>
      <c r="N528" s="4">
        <v>18.302</v>
      </c>
      <c r="O528" s="58">
        <v>18.302</v>
      </c>
      <c r="P528" s="4">
        <v>35</v>
      </c>
      <c r="Q528" s="3" t="s">
        <v>26</v>
      </c>
      <c r="R528" s="3">
        <v>0</v>
      </c>
      <c r="S528" s="4">
        <v>0</v>
      </c>
      <c r="T528" s="4">
        <v>66</v>
      </c>
      <c r="U528" s="4">
        <v>10</v>
      </c>
      <c r="V528" s="58">
        <f>IF(ISERROR(VLOOKUP($S$528,'TAR FIN'!$A$1:$O$88,15,0)),0,VLOOKUP($S$528,'TAR FIN'!$A$1:$O$88,15,0))</f>
        <v>0</v>
      </c>
      <c r="W528" s="58">
        <f>IF(ISERROR(VLOOKUP($T$528,'TAR FIN'!$A$1:$O$88,15,0)),0,VLOOKUP($T$528,'TAR FIN'!$A$1:$O$88,15,0))*(1-0.06)</f>
        <v>471.39119999999997</v>
      </c>
      <c r="X528" s="58">
        <f>IF(ISERROR(VLOOKUP($U$528,'TAR FIN'!$A$1:$O$88,15,0)),0,VLOOKUP($U$528,'TAR FIN'!$A$1:$O$88,15,0))*(1-0.06)</f>
        <v>141.24439999999998</v>
      </c>
      <c r="Y528" s="58"/>
      <c r="Z528" s="58">
        <f ca="1">('TUSD BE'!$AM$48+'TUSD BF'!$AM$48+'TUSD CVA'!$AM$48)*1*(1-0.03)</f>
        <v>572.50639424651001</v>
      </c>
      <c r="AA528" s="58">
        <f>('TE BE'!$AB$38+'TE BF'!$AB$38+'TE CVA'!$AB$38)*1*(1-0.03)</f>
        <v>132.52397739539686</v>
      </c>
      <c r="AB528" s="4">
        <f>$K$528*$V$528</f>
        <v>0</v>
      </c>
      <c r="AC528" s="4">
        <f>$M$528*$W$528</f>
        <v>8627.4017423999994</v>
      </c>
      <c r="AD528" s="4">
        <f>$O$528*$X$528</f>
        <v>2585.0550087999995</v>
      </c>
      <c r="AE528" s="4">
        <f>$K$528*$Y$528</f>
        <v>0</v>
      </c>
      <c r="AF528" s="4">
        <f ca="1">$M$528*$Z$528</f>
        <v>10478.012027499626</v>
      </c>
      <c r="AG528" s="4">
        <f>$O$528*$AA$528</f>
        <v>2425.453834290553</v>
      </c>
    </row>
    <row r="529" spans="1:33" ht="11.25" customHeight="1" x14ac:dyDescent="0.25">
      <c r="A529" s="3" t="s">
        <v>21</v>
      </c>
      <c r="B529" s="3" t="s">
        <v>33</v>
      </c>
      <c r="C529" s="3" t="s">
        <v>23</v>
      </c>
      <c r="D529" s="3" t="s">
        <v>49</v>
      </c>
      <c r="E529" s="3" t="s">
        <v>50</v>
      </c>
      <c r="F529" s="3" t="s">
        <v>25</v>
      </c>
      <c r="G529" s="3" t="s">
        <v>25</v>
      </c>
      <c r="H529" s="3" t="s">
        <v>25</v>
      </c>
      <c r="I529" s="6">
        <v>44562</v>
      </c>
      <c r="J529" s="4">
        <v>0</v>
      </c>
      <c r="K529" s="58">
        <v>0</v>
      </c>
      <c r="L529" s="4">
        <v>21.271999999999998</v>
      </c>
      <c r="M529" s="58">
        <v>21.271999999999998</v>
      </c>
      <c r="N529" s="4">
        <v>21.271999999999998</v>
      </c>
      <c r="O529" s="58">
        <v>21.271999999999998</v>
      </c>
      <c r="P529" s="4">
        <v>35</v>
      </c>
      <c r="Q529" s="3" t="s">
        <v>26</v>
      </c>
      <c r="R529" s="3">
        <v>0</v>
      </c>
      <c r="S529" s="4">
        <v>0</v>
      </c>
      <c r="T529" s="4">
        <v>66</v>
      </c>
      <c r="U529" s="4">
        <v>10</v>
      </c>
      <c r="V529" s="58">
        <f>IF(ISERROR(VLOOKUP($S$529,'TAR FIN'!$A$1:$O$88,15,0)),0,VLOOKUP($S$529,'TAR FIN'!$A$1:$O$88,15,0))</f>
        <v>0</v>
      </c>
      <c r="W529" s="58">
        <f>IF(ISERROR(VLOOKUP($T$529,'TAR FIN'!$A$1:$O$88,15,0)),0,VLOOKUP($T$529,'TAR FIN'!$A$1:$O$88,15,0))*(1-0.06)</f>
        <v>471.39119999999997</v>
      </c>
      <c r="X529" s="58">
        <f>IF(ISERROR(VLOOKUP($U$529,'TAR FIN'!$A$1:$O$88,15,0)),0,VLOOKUP($U$529,'TAR FIN'!$A$1:$O$88,15,0))*(1-0.06)</f>
        <v>141.24439999999998</v>
      </c>
      <c r="Y529" s="58"/>
      <c r="Z529" s="58">
        <f ca="1">('TUSD BE'!$AM$48+'TUSD BF'!$AM$48+'TUSD CVA'!$AM$48)*1*(1-0.03)</f>
        <v>572.50639424651001</v>
      </c>
      <c r="AA529" s="58">
        <f>('TE BE'!$AB$38+'TE BF'!$AB$38+'TE CVA'!$AB$38)*1*(1-0.03)</f>
        <v>132.52397739539686</v>
      </c>
      <c r="AB529" s="4">
        <f>$K$529*$V$529</f>
        <v>0</v>
      </c>
      <c r="AC529" s="4">
        <f>$M$529*$W$529</f>
        <v>10027.433606399998</v>
      </c>
      <c r="AD529" s="4">
        <f>$O$529*$X$529</f>
        <v>3004.5508767999995</v>
      </c>
      <c r="AE529" s="4">
        <f>$K$529*$Y$529</f>
        <v>0</v>
      </c>
      <c r="AF529" s="4">
        <f ca="1">$M$529*$Z$529</f>
        <v>12178.35601841176</v>
      </c>
      <c r="AG529" s="4">
        <f>$O$529*$AA$529</f>
        <v>2819.0500471548817</v>
      </c>
    </row>
    <row r="530" spans="1:33" ht="11.25" customHeight="1" x14ac:dyDescent="0.25">
      <c r="A530" s="3" t="s">
        <v>21</v>
      </c>
      <c r="B530" s="3" t="s">
        <v>33</v>
      </c>
      <c r="C530" s="3" t="s">
        <v>23</v>
      </c>
      <c r="D530" s="3" t="s">
        <v>49</v>
      </c>
      <c r="E530" s="3" t="s">
        <v>50</v>
      </c>
      <c r="F530" s="3" t="s">
        <v>25</v>
      </c>
      <c r="G530" s="3" t="s">
        <v>25</v>
      </c>
      <c r="H530" s="3" t="s">
        <v>25</v>
      </c>
      <c r="I530" s="6">
        <v>44593</v>
      </c>
      <c r="J530" s="4">
        <v>0</v>
      </c>
      <c r="K530" s="58">
        <v>0</v>
      </c>
      <c r="L530" s="4">
        <v>24.638999999999999</v>
      </c>
      <c r="M530" s="58">
        <v>24.638999999999999</v>
      </c>
      <c r="N530" s="4">
        <v>24.638999999999999</v>
      </c>
      <c r="O530" s="58">
        <v>24.638999999999999</v>
      </c>
      <c r="P530" s="4">
        <v>35</v>
      </c>
      <c r="Q530" s="3" t="s">
        <v>26</v>
      </c>
      <c r="R530" s="3">
        <v>0</v>
      </c>
      <c r="S530" s="4">
        <v>0</v>
      </c>
      <c r="T530" s="4">
        <v>66</v>
      </c>
      <c r="U530" s="4">
        <v>10</v>
      </c>
      <c r="V530" s="58">
        <f>IF(ISERROR(VLOOKUP($S$530,'TAR FIN'!$A$1:$O$88,15,0)),0,VLOOKUP($S$530,'TAR FIN'!$A$1:$O$88,15,0))</f>
        <v>0</v>
      </c>
      <c r="W530" s="58">
        <f>IF(ISERROR(VLOOKUP($T$530,'TAR FIN'!$A$1:$O$88,15,0)),0,VLOOKUP($T$530,'TAR FIN'!$A$1:$O$88,15,0))*(1-0.06)</f>
        <v>471.39119999999997</v>
      </c>
      <c r="X530" s="58">
        <f>IF(ISERROR(VLOOKUP($U$530,'TAR FIN'!$A$1:$O$88,15,0)),0,VLOOKUP($U$530,'TAR FIN'!$A$1:$O$88,15,0))*(1-0.06)</f>
        <v>141.24439999999998</v>
      </c>
      <c r="Y530" s="58"/>
      <c r="Z530" s="58">
        <f ca="1">('TUSD BE'!$AM$48+'TUSD BF'!$AM$48+'TUSD CVA'!$AM$48)*1*(1-0.03)</f>
        <v>572.50639424651001</v>
      </c>
      <c r="AA530" s="58">
        <f>('TE BE'!$AB$38+'TE BF'!$AB$38+'TE CVA'!$AB$38)*1*(1-0.03)</f>
        <v>132.52397739539686</v>
      </c>
      <c r="AB530" s="4">
        <f>$K$530*$V$530</f>
        <v>0</v>
      </c>
      <c r="AC530" s="4">
        <f>$M$530*$W$530</f>
        <v>11614.6077768</v>
      </c>
      <c r="AD530" s="4">
        <f>$O$530*$X$530</f>
        <v>3480.1207715999994</v>
      </c>
      <c r="AE530" s="4">
        <f>$K$530*$Y$530</f>
        <v>0</v>
      </c>
      <c r="AF530" s="4">
        <f ca="1">$M$530*$Z$530</f>
        <v>14105.98504783976</v>
      </c>
      <c r="AG530" s="4">
        <f>$O$530*$AA$530</f>
        <v>3265.2582790451829</v>
      </c>
    </row>
    <row r="531" spans="1:33" ht="11.25" customHeight="1" x14ac:dyDescent="0.25">
      <c r="A531" s="3" t="s">
        <v>21</v>
      </c>
      <c r="B531" s="3" t="s">
        <v>33</v>
      </c>
      <c r="C531" s="3" t="s">
        <v>23</v>
      </c>
      <c r="D531" s="3" t="s">
        <v>49</v>
      </c>
      <c r="E531" s="3" t="s">
        <v>50</v>
      </c>
      <c r="F531" s="3" t="s">
        <v>25</v>
      </c>
      <c r="G531" s="3" t="s">
        <v>25</v>
      </c>
      <c r="H531" s="3" t="s">
        <v>25</v>
      </c>
      <c r="I531" s="6">
        <v>44621</v>
      </c>
      <c r="J531" s="4">
        <v>0</v>
      </c>
      <c r="K531" s="58">
        <v>0</v>
      </c>
      <c r="L531" s="4">
        <v>22.068000000000001</v>
      </c>
      <c r="M531" s="58">
        <v>22.068000000000001</v>
      </c>
      <c r="N531" s="4">
        <v>22.068000000000001</v>
      </c>
      <c r="O531" s="58">
        <v>22.068000000000001</v>
      </c>
      <c r="P531" s="4">
        <v>35</v>
      </c>
      <c r="Q531" s="3" t="s">
        <v>26</v>
      </c>
      <c r="R531" s="3">
        <v>0</v>
      </c>
      <c r="S531" s="4">
        <v>0</v>
      </c>
      <c r="T531" s="4">
        <v>66</v>
      </c>
      <c r="U531" s="4">
        <v>10</v>
      </c>
      <c r="V531" s="58">
        <f>IF(ISERROR(VLOOKUP($S$531,'TAR FIN'!$A$1:$O$88,15,0)),0,VLOOKUP($S$531,'TAR FIN'!$A$1:$O$88,15,0))</f>
        <v>0</v>
      </c>
      <c r="W531" s="58">
        <f>IF(ISERROR(VLOOKUP($T$531,'TAR FIN'!$A$1:$O$88,15,0)),0,VLOOKUP($T$531,'TAR FIN'!$A$1:$O$88,15,0))*(1-0.06)</f>
        <v>471.39119999999997</v>
      </c>
      <c r="X531" s="58">
        <f>IF(ISERROR(VLOOKUP($U$531,'TAR FIN'!$A$1:$O$88,15,0)),0,VLOOKUP($U$531,'TAR FIN'!$A$1:$O$88,15,0))*(1-0.06)</f>
        <v>141.24439999999998</v>
      </c>
      <c r="Y531" s="58"/>
      <c r="Z531" s="58">
        <f ca="1">('TUSD BE'!$AM$48+'TUSD BF'!$AM$48+'TUSD CVA'!$AM$48)*1*(1-0.03)</f>
        <v>572.50639424651001</v>
      </c>
      <c r="AA531" s="58">
        <f>('TE BE'!$AB$38+'TE BF'!$AB$38+'TE CVA'!$AB$38)*1*(1-0.03)</f>
        <v>132.52397739539686</v>
      </c>
      <c r="AB531" s="4">
        <f>$K$531*$V$531</f>
        <v>0</v>
      </c>
      <c r="AC531" s="4">
        <f>$M$531*$W$531</f>
        <v>10402.6610016</v>
      </c>
      <c r="AD531" s="4">
        <f>$O$531*$X$531</f>
        <v>3116.9814191999999</v>
      </c>
      <c r="AE531" s="4">
        <f>$K$531*$Y$531</f>
        <v>0</v>
      </c>
      <c r="AF531" s="4">
        <f ca="1">$M$531*$Z$531</f>
        <v>12634.071108231983</v>
      </c>
      <c r="AG531" s="4">
        <f>$O$531*$AA$531</f>
        <v>2924.5391331616179</v>
      </c>
    </row>
    <row r="532" spans="1:33" ht="11.25" customHeight="1" x14ac:dyDescent="0.25">
      <c r="A532" s="3" t="s">
        <v>21</v>
      </c>
      <c r="B532" s="3" t="s">
        <v>33</v>
      </c>
      <c r="C532" s="3" t="s">
        <v>23</v>
      </c>
      <c r="D532" s="3" t="s">
        <v>49</v>
      </c>
      <c r="E532" s="3" t="s">
        <v>50</v>
      </c>
      <c r="F532" s="3" t="s">
        <v>25</v>
      </c>
      <c r="G532" s="3" t="s">
        <v>25</v>
      </c>
      <c r="H532" s="3" t="s">
        <v>25</v>
      </c>
      <c r="I532" s="6">
        <v>44652</v>
      </c>
      <c r="J532" s="4">
        <v>0</v>
      </c>
      <c r="K532" s="58">
        <v>0</v>
      </c>
      <c r="L532" s="4">
        <v>20.841000000000001</v>
      </c>
      <c r="M532" s="58">
        <v>20.841000000000001</v>
      </c>
      <c r="N532" s="4">
        <v>20.841000000000001</v>
      </c>
      <c r="O532" s="58">
        <v>20.841000000000001</v>
      </c>
      <c r="P532" s="4">
        <v>35</v>
      </c>
      <c r="Q532" s="3" t="s">
        <v>26</v>
      </c>
      <c r="R532" s="3">
        <v>0</v>
      </c>
      <c r="S532" s="4">
        <v>0</v>
      </c>
      <c r="T532" s="4">
        <v>66</v>
      </c>
      <c r="U532" s="4">
        <v>10</v>
      </c>
      <c r="V532" s="58">
        <f>IF(ISERROR(VLOOKUP($S$532,'TAR FIN'!$A$1:$O$88,15,0)),0,VLOOKUP($S$532,'TAR FIN'!$A$1:$O$88,15,0))</f>
        <v>0</v>
      </c>
      <c r="W532" s="58">
        <f>IF(ISERROR(VLOOKUP($T$532,'TAR FIN'!$A$1:$O$88,15,0)),0,VLOOKUP($T$532,'TAR FIN'!$A$1:$O$88,15,0))*(1-0.06)</f>
        <v>471.39119999999997</v>
      </c>
      <c r="X532" s="58">
        <f>IF(ISERROR(VLOOKUP($U$532,'TAR FIN'!$A$1:$O$88,15,0)),0,VLOOKUP($U$532,'TAR FIN'!$A$1:$O$88,15,0))*(1-0.06)</f>
        <v>141.24439999999998</v>
      </c>
      <c r="Y532" s="58"/>
      <c r="Z532" s="58">
        <f ca="1">('TUSD BE'!$AM$48+'TUSD BF'!$AM$48+'TUSD CVA'!$AM$48)*1*(1-0.03)</f>
        <v>572.50639424651001</v>
      </c>
      <c r="AA532" s="58">
        <f>('TE BE'!$AB$38+'TE BF'!$AB$38+'TE CVA'!$AB$38)*1*(1-0.03)</f>
        <v>132.52397739539686</v>
      </c>
      <c r="AB532" s="4">
        <f>$K$532*$V$532</f>
        <v>0</v>
      </c>
      <c r="AC532" s="4">
        <f>$M$532*$W$532</f>
        <v>9824.2639992000004</v>
      </c>
      <c r="AD532" s="4">
        <f>$O$532*$X$532</f>
        <v>2943.6745403999998</v>
      </c>
      <c r="AE532" s="4">
        <f>$K$532*$Y$532</f>
        <v>0</v>
      </c>
      <c r="AF532" s="4">
        <f ca="1">$M$532*$Z$532</f>
        <v>11931.605762491516</v>
      </c>
      <c r="AG532" s="4">
        <f>$O$532*$AA$532</f>
        <v>2761.9322128974659</v>
      </c>
    </row>
    <row r="533" spans="1:33" ht="11.25" customHeight="1" x14ac:dyDescent="0.25">
      <c r="A533" s="3" t="s">
        <v>21</v>
      </c>
      <c r="B533" s="3" t="s">
        <v>33</v>
      </c>
      <c r="C533" s="3" t="s">
        <v>23</v>
      </c>
      <c r="D533" s="3" t="s">
        <v>49</v>
      </c>
      <c r="E533" s="3" t="s">
        <v>50</v>
      </c>
      <c r="F533" s="3" t="s">
        <v>25</v>
      </c>
      <c r="G533" s="3" t="s">
        <v>25</v>
      </c>
      <c r="H533" s="3" t="s">
        <v>25</v>
      </c>
      <c r="I533" s="6">
        <v>44682</v>
      </c>
      <c r="J533" s="4">
        <v>0</v>
      </c>
      <c r="K533" s="58">
        <v>0</v>
      </c>
      <c r="L533" s="4">
        <v>19.794</v>
      </c>
      <c r="M533" s="58">
        <v>19.794</v>
      </c>
      <c r="N533" s="4">
        <v>19.794</v>
      </c>
      <c r="O533" s="58">
        <v>19.794</v>
      </c>
      <c r="P533" s="4">
        <v>35</v>
      </c>
      <c r="Q533" s="3" t="s">
        <v>26</v>
      </c>
      <c r="R533" s="3">
        <v>0</v>
      </c>
      <c r="S533" s="4">
        <v>0</v>
      </c>
      <c r="T533" s="4">
        <v>66</v>
      </c>
      <c r="U533" s="4">
        <v>10</v>
      </c>
      <c r="V533" s="58">
        <f>IF(ISERROR(VLOOKUP($S$533,'TAR FIN'!$A$1:$O$88,15,0)),0,VLOOKUP($S$533,'TAR FIN'!$A$1:$O$88,15,0))</f>
        <v>0</v>
      </c>
      <c r="W533" s="58">
        <f>IF(ISERROR(VLOOKUP($T$533,'TAR FIN'!$A$1:$O$88,15,0)),0,VLOOKUP($T$533,'TAR FIN'!$A$1:$O$88,15,0))*(1-0.06)</f>
        <v>471.39119999999997</v>
      </c>
      <c r="X533" s="58">
        <f>IF(ISERROR(VLOOKUP($U$533,'TAR FIN'!$A$1:$O$88,15,0)),0,VLOOKUP($U$533,'TAR FIN'!$A$1:$O$88,15,0))*(1-0.06)</f>
        <v>141.24439999999998</v>
      </c>
      <c r="Y533" s="58"/>
      <c r="Z533" s="58">
        <f ca="1">('TUSD BE'!$AM$48+'TUSD BF'!$AM$48+'TUSD CVA'!$AM$48)*1*(1-0.03)</f>
        <v>572.50639424651001</v>
      </c>
      <c r="AA533" s="58">
        <f>('TE BE'!$AB$38+'TE BF'!$AB$38+'TE CVA'!$AB$38)*1*(1-0.03)</f>
        <v>132.52397739539686</v>
      </c>
      <c r="AB533" s="4">
        <f>$K$533*$V$533</f>
        <v>0</v>
      </c>
      <c r="AC533" s="4">
        <f>$M$533*$W$533</f>
        <v>9330.7174127999988</v>
      </c>
      <c r="AD533" s="4">
        <f>$O$533*$X$533</f>
        <v>2795.7916535999998</v>
      </c>
      <c r="AE533" s="4">
        <f>$K$533*$Y$533</f>
        <v>0</v>
      </c>
      <c r="AF533" s="4">
        <f ca="1">$M$533*$Z$533</f>
        <v>11332.191567715419</v>
      </c>
      <c r="AG533" s="4">
        <f>$O$533*$AA$533</f>
        <v>2623.1796085644855</v>
      </c>
    </row>
    <row r="534" spans="1:33" ht="11.25" customHeight="1" x14ac:dyDescent="0.25">
      <c r="A534" s="3" t="s">
        <v>21</v>
      </c>
      <c r="B534" s="3" t="s">
        <v>33</v>
      </c>
      <c r="C534" s="3" t="s">
        <v>23</v>
      </c>
      <c r="D534" s="3" t="s">
        <v>49</v>
      </c>
      <c r="E534" s="3" t="s">
        <v>50</v>
      </c>
      <c r="F534" s="3" t="s">
        <v>25</v>
      </c>
      <c r="G534" s="3" t="s">
        <v>25</v>
      </c>
      <c r="H534" s="3" t="s">
        <v>25</v>
      </c>
      <c r="I534" s="6">
        <v>44713</v>
      </c>
      <c r="J534" s="4">
        <v>0</v>
      </c>
      <c r="K534" s="58">
        <v>0</v>
      </c>
      <c r="L534" s="4">
        <v>21.469000000000001</v>
      </c>
      <c r="M534" s="58">
        <v>21.469000000000001</v>
      </c>
      <c r="N534" s="4">
        <v>21.469000000000001</v>
      </c>
      <c r="O534" s="58">
        <v>21.469000000000001</v>
      </c>
      <c r="P534" s="4">
        <v>35</v>
      </c>
      <c r="Q534" s="3" t="s">
        <v>26</v>
      </c>
      <c r="R534" s="3">
        <v>0</v>
      </c>
      <c r="S534" s="4">
        <v>0</v>
      </c>
      <c r="T534" s="4">
        <v>66</v>
      </c>
      <c r="U534" s="4">
        <v>10</v>
      </c>
      <c r="V534" s="58">
        <f>IF(ISERROR(VLOOKUP($S$534,'TAR FIN'!$A$1:$O$88,15,0)),0,VLOOKUP($S$534,'TAR FIN'!$A$1:$O$88,15,0))</f>
        <v>0</v>
      </c>
      <c r="W534" s="58">
        <f>IF(ISERROR(VLOOKUP($T$534,'TAR FIN'!$A$1:$O$88,15,0)),0,VLOOKUP($T$534,'TAR FIN'!$A$1:$O$88,15,0))*(1-0.06)</f>
        <v>471.39119999999997</v>
      </c>
      <c r="X534" s="58">
        <f>IF(ISERROR(VLOOKUP($U$534,'TAR FIN'!$A$1:$O$88,15,0)),0,VLOOKUP($U$534,'TAR FIN'!$A$1:$O$88,15,0))*(1-0.06)</f>
        <v>141.24439999999998</v>
      </c>
      <c r="Y534" s="58"/>
      <c r="Z534" s="58">
        <f ca="1">('TUSD BE'!$AM$48+'TUSD BF'!$AM$48+'TUSD CVA'!$AM$48)*1*(1-0.03)</f>
        <v>572.50639424651001</v>
      </c>
      <c r="AA534" s="58">
        <f>('TE BE'!$AB$38+'TE BF'!$AB$38+'TE CVA'!$AB$38)*1*(1-0.03)</f>
        <v>132.52397739539686</v>
      </c>
      <c r="AB534" s="4">
        <f>$K$534*$V$534</f>
        <v>0</v>
      </c>
      <c r="AC534" s="4">
        <f>$M$534*$W$534</f>
        <v>10120.297672799999</v>
      </c>
      <c r="AD534" s="4">
        <f>$O$534*$X$534</f>
        <v>3032.3760235999998</v>
      </c>
      <c r="AE534" s="4">
        <f>$K$534*$Y$534</f>
        <v>0</v>
      </c>
      <c r="AF534" s="4">
        <f ca="1">$M$534*$Z$534</f>
        <v>12291.139778078325</v>
      </c>
      <c r="AG534" s="4">
        <f>$O$534*$AA$534</f>
        <v>2845.1572707017754</v>
      </c>
    </row>
    <row r="535" spans="1:33" ht="11.25" customHeight="1" x14ac:dyDescent="0.25">
      <c r="A535" s="3" t="s">
        <v>21</v>
      </c>
      <c r="B535" s="3" t="s">
        <v>33</v>
      </c>
      <c r="C535" s="3" t="s">
        <v>23</v>
      </c>
      <c r="D535" s="3" t="s">
        <v>49</v>
      </c>
      <c r="E535" s="3" t="s">
        <v>50</v>
      </c>
      <c r="F535" s="3" t="s">
        <v>25</v>
      </c>
      <c r="G535" s="3" t="s">
        <v>25</v>
      </c>
      <c r="H535" s="3" t="s">
        <v>25</v>
      </c>
      <c r="I535" s="6">
        <v>44743</v>
      </c>
      <c r="J535" s="4">
        <v>0</v>
      </c>
      <c r="K535" s="58">
        <v>0</v>
      </c>
      <c r="L535" s="4">
        <v>20.888000000000002</v>
      </c>
      <c r="M535" s="58">
        <v>20.888000000000002</v>
      </c>
      <c r="N535" s="4">
        <v>20.888000000000002</v>
      </c>
      <c r="O535" s="58">
        <v>20.888000000000002</v>
      </c>
      <c r="P535" s="4">
        <v>35</v>
      </c>
      <c r="Q535" s="3" t="s">
        <v>26</v>
      </c>
      <c r="R535" s="3">
        <v>0</v>
      </c>
      <c r="S535" s="4">
        <v>0</v>
      </c>
      <c r="T535" s="4">
        <v>66</v>
      </c>
      <c r="U535" s="4">
        <v>10</v>
      </c>
      <c r="V535" s="58">
        <f>IF(ISERROR(VLOOKUP($S$535,'TAR FIN'!$A$1:$O$88,15,0)),0,VLOOKUP($S$535,'TAR FIN'!$A$1:$O$88,15,0))</f>
        <v>0</v>
      </c>
      <c r="W535" s="58">
        <f>IF(ISERROR(VLOOKUP($T$535,'TAR FIN'!$A$1:$O$88,15,0)),0,VLOOKUP($T$535,'TAR FIN'!$A$1:$O$88,15,0))*(1-0.06)</f>
        <v>471.39119999999997</v>
      </c>
      <c r="X535" s="58">
        <f>IF(ISERROR(VLOOKUP($U$535,'TAR FIN'!$A$1:$O$88,15,0)),0,VLOOKUP($U$535,'TAR FIN'!$A$1:$O$88,15,0))*(1-0.06)</f>
        <v>141.24439999999998</v>
      </c>
      <c r="Y535" s="58"/>
      <c r="Z535" s="58">
        <f ca="1">('TUSD BE'!$AM$48+'TUSD BF'!$AM$48+'TUSD CVA'!$AM$48)*1*(1-0.03)</f>
        <v>572.50639424651001</v>
      </c>
      <c r="AA535" s="58">
        <f>('TE BE'!$AB$38+'TE BF'!$AB$38+'TE CVA'!$AB$38)*1*(1-0.03)</f>
        <v>132.52397739539686</v>
      </c>
      <c r="AB535" s="4">
        <f>$K$535*$V$535</f>
        <v>0</v>
      </c>
      <c r="AC535" s="4">
        <f>$M$535*$W$535</f>
        <v>9846.4193856000002</v>
      </c>
      <c r="AD535" s="4">
        <f>$O$535*$X$535</f>
        <v>2950.3130271999999</v>
      </c>
      <c r="AE535" s="4">
        <f>$K$535*$Y$535</f>
        <v>0</v>
      </c>
      <c r="AF535" s="4">
        <f ca="1">$M$535*$Z$535</f>
        <v>11958.513563021103</v>
      </c>
      <c r="AG535" s="4">
        <f>$O$535*$AA$535</f>
        <v>2768.16083983505</v>
      </c>
    </row>
    <row r="536" spans="1:33" ht="11.25" customHeight="1" x14ac:dyDescent="0.25">
      <c r="A536" s="3" t="s">
        <v>55</v>
      </c>
      <c r="B536" s="3" t="s">
        <v>33</v>
      </c>
      <c r="C536" s="3" t="s">
        <v>23</v>
      </c>
      <c r="D536" s="3" t="s">
        <v>49</v>
      </c>
      <c r="E536" s="3" t="s">
        <v>50</v>
      </c>
      <c r="F536" s="3" t="s">
        <v>25</v>
      </c>
      <c r="G536" s="3" t="s">
        <v>25</v>
      </c>
      <c r="H536" s="3" t="s">
        <v>25</v>
      </c>
      <c r="I536" s="6">
        <v>44774</v>
      </c>
      <c r="J536" s="4">
        <v>0</v>
      </c>
      <c r="K536" s="58">
        <v>0</v>
      </c>
      <c r="L536" s="4">
        <v>20.888000000000002</v>
      </c>
      <c r="M536" s="58">
        <v>20.888000000000002</v>
      </c>
      <c r="N536" s="4">
        <v>20.888000000000002</v>
      </c>
      <c r="O536" s="58">
        <v>20.888000000000002</v>
      </c>
      <c r="P536" s="4">
        <v>35</v>
      </c>
      <c r="Q536" s="3" t="s">
        <v>26</v>
      </c>
      <c r="R536" s="3">
        <v>0</v>
      </c>
      <c r="S536" s="4">
        <v>0</v>
      </c>
      <c r="T536" s="4">
        <v>66</v>
      </c>
      <c r="U536" s="4">
        <v>10</v>
      </c>
      <c r="V536" s="58">
        <f>IF(ISERROR(VLOOKUP($S$536,'TAR FIN'!$A$1:$O$88,15,0)),0,VLOOKUP($S$536,'TAR FIN'!$A$1:$O$88,15,0))</f>
        <v>0</v>
      </c>
      <c r="W536" s="58">
        <f>IF(ISERROR(VLOOKUP($T$536,'TAR FIN'!$A$1:$O$88,15,0)),0,VLOOKUP($T$536,'TAR FIN'!$A$1:$O$88,15,0))*(1-0.06)</f>
        <v>471.39119999999997</v>
      </c>
      <c r="X536" s="58">
        <f>IF(ISERROR(VLOOKUP($U$536,'TAR FIN'!$A$1:$O$88,15,0)),0,VLOOKUP($U$536,'TAR FIN'!$A$1:$O$88,15,0))*(1-0.06)</f>
        <v>141.24439999999998</v>
      </c>
      <c r="Y536" s="58"/>
      <c r="Z536" s="58">
        <f ca="1">('TUSD BE'!$AM$48+'TUSD BF'!$AM$48+'TUSD CVA'!$AM$48)*1*(1-0.03)</f>
        <v>572.50639424651001</v>
      </c>
      <c r="AA536" s="58">
        <f>('TE BE'!$AB$38+'TE BF'!$AB$38+'TE CVA'!$AB$38)*1*(1-0.03)</f>
        <v>132.52397739539686</v>
      </c>
      <c r="AB536" s="4">
        <f>$K$536*$V$536</f>
        <v>0</v>
      </c>
      <c r="AC536" s="4">
        <f>$M$536*$W$536</f>
        <v>9846.4193856000002</v>
      </c>
      <c r="AD536" s="4">
        <f>$O$536*$X$536</f>
        <v>2950.3130271999999</v>
      </c>
      <c r="AE536" s="4">
        <f>$K$536*$Y$536</f>
        <v>0</v>
      </c>
      <c r="AF536" s="4">
        <f ca="1">$M$536*$Z$536</f>
        <v>11958.513563021103</v>
      </c>
      <c r="AG536" s="4">
        <f>$O$536*$AA$536</f>
        <v>2768.16083983505</v>
      </c>
    </row>
    <row r="537" spans="1:33" ht="11.25" customHeight="1" x14ac:dyDescent="0.25">
      <c r="A537" s="3" t="s">
        <v>21</v>
      </c>
      <c r="B537" s="3" t="s">
        <v>46</v>
      </c>
      <c r="C537" s="3" t="s">
        <v>23</v>
      </c>
      <c r="D537" s="3" t="s">
        <v>47</v>
      </c>
      <c r="E537" s="3" t="s">
        <v>48</v>
      </c>
      <c r="F537" s="3" t="s">
        <v>25</v>
      </c>
      <c r="G537" s="3" t="s">
        <v>25</v>
      </c>
      <c r="H537" s="3" t="s">
        <v>25</v>
      </c>
      <c r="I537" s="6">
        <v>44440</v>
      </c>
      <c r="J537" s="4">
        <v>0</v>
      </c>
      <c r="K537" s="4">
        <v>0</v>
      </c>
      <c r="L537" s="4">
        <v>432.84500000000003</v>
      </c>
      <c r="M537" s="4">
        <v>432.84500000000003</v>
      </c>
      <c r="N537" s="4">
        <v>432.84500000000003</v>
      </c>
      <c r="O537" s="4">
        <v>432.84500000000003</v>
      </c>
      <c r="P537" s="4">
        <v>6</v>
      </c>
      <c r="Q537" s="3" t="s">
        <v>26</v>
      </c>
      <c r="R537" s="3">
        <v>0</v>
      </c>
      <c r="S537" s="4">
        <v>0</v>
      </c>
      <c r="T537" s="4">
        <v>63</v>
      </c>
      <c r="U537" s="4">
        <v>12</v>
      </c>
      <c r="V537" s="4">
        <f>IF(ISERROR(VLOOKUP($S$537,'TAR FIN'!$A$1:$O$88,15,0)),0,VLOOKUP($S$537,'TAR FIN'!$A$1:$O$88,15,0))</f>
        <v>0</v>
      </c>
      <c r="W537" s="4">
        <f>IF(ISERROR(VLOOKUP($T$537,'TAR FIN'!$A$1:$O$88,15,0)),0,VLOOKUP($T$537,'TAR FIN'!$A$1:$O$88,15,0))</f>
        <v>275.82</v>
      </c>
      <c r="X537" s="4">
        <f>IF(ISERROR(VLOOKUP($U$537,'TAR FIN'!$A$1:$O$88,15,0)),0,VLOOKUP($U$537,'TAR FIN'!$A$1:$O$88,15,0))</f>
        <v>82.64</v>
      </c>
      <c r="Y537" s="4"/>
      <c r="Z537" s="4">
        <f ca="1">('TUSD BE'!$AM$50+'TUSD BF'!$AM$50+'TUSD CVA'!$AM$50)*1</f>
        <v>324.61702766554697</v>
      </c>
      <c r="AA537" s="4">
        <f>('TE BE'!$AB$40+'TE BF'!$AB$40+'TE CVA'!$AB$40)*1</f>
        <v>75.142461409761111</v>
      </c>
      <c r="AB537" s="4">
        <f>$K$537*$V$537</f>
        <v>0</v>
      </c>
      <c r="AC537" s="4">
        <f>$M$537*$W$537</f>
        <v>119387.3079</v>
      </c>
      <c r="AD537" s="4">
        <f>$O$537*$X$537</f>
        <v>35770.310799999999</v>
      </c>
      <c r="AE537" s="4">
        <f>$K$537*$Y$537</f>
        <v>0</v>
      </c>
      <c r="AF537" s="4">
        <f ca="1">$M$537*$Z$537</f>
        <v>140508.8573398937</v>
      </c>
      <c r="AG537" s="4">
        <f>$O$537*$AA$537</f>
        <v>32525.03870890805</v>
      </c>
    </row>
    <row r="538" spans="1:33" ht="11.25" customHeight="1" x14ac:dyDescent="0.25">
      <c r="A538" s="3" t="s">
        <v>21</v>
      </c>
      <c r="B538" s="3" t="s">
        <v>46</v>
      </c>
      <c r="C538" s="3" t="s">
        <v>23</v>
      </c>
      <c r="D538" s="3" t="s">
        <v>47</v>
      </c>
      <c r="E538" s="3" t="s">
        <v>48</v>
      </c>
      <c r="F538" s="3" t="s">
        <v>25</v>
      </c>
      <c r="G538" s="3" t="s">
        <v>25</v>
      </c>
      <c r="H538" s="3" t="s">
        <v>25</v>
      </c>
      <c r="I538" s="6">
        <v>44470</v>
      </c>
      <c r="J538" s="4">
        <v>0</v>
      </c>
      <c r="K538" s="4">
        <v>0</v>
      </c>
      <c r="L538" s="4">
        <v>398.983</v>
      </c>
      <c r="M538" s="4">
        <v>398.983</v>
      </c>
      <c r="N538" s="4">
        <v>398.983</v>
      </c>
      <c r="O538" s="4">
        <v>398.983</v>
      </c>
      <c r="P538" s="4">
        <v>6</v>
      </c>
      <c r="Q538" s="3" t="s">
        <v>26</v>
      </c>
      <c r="R538" s="3">
        <v>0</v>
      </c>
      <c r="S538" s="4">
        <v>0</v>
      </c>
      <c r="T538" s="4">
        <v>63</v>
      </c>
      <c r="U538" s="4">
        <v>12</v>
      </c>
      <c r="V538" s="4">
        <f>IF(ISERROR(VLOOKUP($S$538,'TAR FIN'!$A$1:$O$88,15,0)),0,VLOOKUP($S$538,'TAR FIN'!$A$1:$O$88,15,0))</f>
        <v>0</v>
      </c>
      <c r="W538" s="4">
        <f>IF(ISERROR(VLOOKUP($T$538,'TAR FIN'!$A$1:$O$88,15,0)),0,VLOOKUP($T$538,'TAR FIN'!$A$1:$O$88,15,0))</f>
        <v>275.82</v>
      </c>
      <c r="X538" s="4">
        <f>IF(ISERROR(VLOOKUP($U$538,'TAR FIN'!$A$1:$O$88,15,0)),0,VLOOKUP($U$538,'TAR FIN'!$A$1:$O$88,15,0))</f>
        <v>82.64</v>
      </c>
      <c r="Y538" s="4"/>
      <c r="Z538" s="4">
        <f ca="1">('TUSD BE'!$AM$50+'TUSD BF'!$AM$50+'TUSD CVA'!$AM$50)*1</f>
        <v>324.61702766554697</v>
      </c>
      <c r="AA538" s="4">
        <f>('TE BE'!$AB$40+'TE BF'!$AB$40+'TE CVA'!$AB$40)*1</f>
        <v>75.142461409761111</v>
      </c>
      <c r="AB538" s="4">
        <f>$K$538*$V$538</f>
        <v>0</v>
      </c>
      <c r="AC538" s="4">
        <f>$M$538*$W$538</f>
        <v>110047.49106</v>
      </c>
      <c r="AD538" s="4">
        <f>$O$538*$X$538</f>
        <v>32971.955119999999</v>
      </c>
      <c r="AE538" s="4">
        <f>$K$538*$Y$538</f>
        <v>0</v>
      </c>
      <c r="AF538" s="4">
        <f ca="1">$M$538*$Z$538</f>
        <v>129516.67554908292</v>
      </c>
      <c r="AG538" s="4">
        <f>$O$538*$AA$538</f>
        <v>29980.564680650717</v>
      </c>
    </row>
    <row r="539" spans="1:33" ht="11.25" customHeight="1" x14ac:dyDescent="0.25">
      <c r="A539" s="3" t="s">
        <v>21</v>
      </c>
      <c r="B539" s="3" t="s">
        <v>46</v>
      </c>
      <c r="C539" s="3" t="s">
        <v>23</v>
      </c>
      <c r="D539" s="3" t="s">
        <v>47</v>
      </c>
      <c r="E539" s="3" t="s">
        <v>48</v>
      </c>
      <c r="F539" s="3" t="s">
        <v>25</v>
      </c>
      <c r="G539" s="3" t="s">
        <v>25</v>
      </c>
      <c r="H539" s="3" t="s">
        <v>25</v>
      </c>
      <c r="I539" s="6">
        <v>44501</v>
      </c>
      <c r="J539" s="4">
        <v>0</v>
      </c>
      <c r="K539" s="4">
        <v>0</v>
      </c>
      <c r="L539" s="4">
        <v>370.55399999999997</v>
      </c>
      <c r="M539" s="4">
        <v>370.55399999999997</v>
      </c>
      <c r="N539" s="4">
        <v>370.55399999999997</v>
      </c>
      <c r="O539" s="4">
        <v>370.55399999999997</v>
      </c>
      <c r="P539" s="4">
        <v>6</v>
      </c>
      <c r="Q539" s="3" t="s">
        <v>26</v>
      </c>
      <c r="R539" s="3">
        <v>0</v>
      </c>
      <c r="S539" s="4">
        <v>0</v>
      </c>
      <c r="T539" s="4">
        <v>63</v>
      </c>
      <c r="U539" s="4">
        <v>12</v>
      </c>
      <c r="V539" s="4">
        <f>IF(ISERROR(VLOOKUP($S$539,'TAR FIN'!$A$1:$O$88,15,0)),0,VLOOKUP($S$539,'TAR FIN'!$A$1:$O$88,15,0))</f>
        <v>0</v>
      </c>
      <c r="W539" s="4">
        <f>IF(ISERROR(VLOOKUP($T$539,'TAR FIN'!$A$1:$O$88,15,0)),0,VLOOKUP($T$539,'TAR FIN'!$A$1:$O$88,15,0))</f>
        <v>275.82</v>
      </c>
      <c r="X539" s="4">
        <f>IF(ISERROR(VLOOKUP($U$539,'TAR FIN'!$A$1:$O$88,15,0)),0,VLOOKUP($U$539,'TAR FIN'!$A$1:$O$88,15,0))</f>
        <v>82.64</v>
      </c>
      <c r="Y539" s="4"/>
      <c r="Z539" s="4">
        <f ca="1">('TUSD BE'!$AM$50+'TUSD BF'!$AM$50+'TUSD CVA'!$AM$50)*1</f>
        <v>324.61702766554697</v>
      </c>
      <c r="AA539" s="4">
        <f>('TE BE'!$AB$40+'TE BF'!$AB$40+'TE CVA'!$AB$40)*1</f>
        <v>75.142461409761111</v>
      </c>
      <c r="AB539" s="4">
        <f>$K$539*$V$539</f>
        <v>0</v>
      </c>
      <c r="AC539" s="4">
        <f>$M$539*$W$539</f>
        <v>102206.20427999999</v>
      </c>
      <c r="AD539" s="4">
        <f>$O$539*$X$539</f>
        <v>30622.582559999999</v>
      </c>
      <c r="AE539" s="4">
        <f>$K$539*$Y$539</f>
        <v>0</v>
      </c>
      <c r="AF539" s="4">
        <f ca="1">$M$539*$Z$539</f>
        <v>120288.13806957909</v>
      </c>
      <c r="AG539" s="4">
        <f>$O$539*$AA$539</f>
        <v>27844.339645232616</v>
      </c>
    </row>
    <row r="540" spans="1:33" ht="11.25" customHeight="1" x14ac:dyDescent="0.25">
      <c r="A540" s="3" t="s">
        <v>21</v>
      </c>
      <c r="B540" s="3" t="s">
        <v>46</v>
      </c>
      <c r="C540" s="3" t="s">
        <v>23</v>
      </c>
      <c r="D540" s="3" t="s">
        <v>47</v>
      </c>
      <c r="E540" s="3" t="s">
        <v>48</v>
      </c>
      <c r="F540" s="3" t="s">
        <v>25</v>
      </c>
      <c r="G540" s="3" t="s">
        <v>25</v>
      </c>
      <c r="H540" s="3" t="s">
        <v>25</v>
      </c>
      <c r="I540" s="6">
        <v>44531</v>
      </c>
      <c r="J540" s="4">
        <v>0</v>
      </c>
      <c r="K540" s="4">
        <v>0</v>
      </c>
      <c r="L540" s="4">
        <v>359.423</v>
      </c>
      <c r="M540" s="4">
        <v>359.423</v>
      </c>
      <c r="N540" s="4">
        <v>359.423</v>
      </c>
      <c r="O540" s="4">
        <v>359.423</v>
      </c>
      <c r="P540" s="4">
        <v>6</v>
      </c>
      <c r="Q540" s="3" t="s">
        <v>26</v>
      </c>
      <c r="R540" s="3">
        <v>0</v>
      </c>
      <c r="S540" s="4">
        <v>0</v>
      </c>
      <c r="T540" s="4">
        <v>63</v>
      </c>
      <c r="U540" s="4">
        <v>12</v>
      </c>
      <c r="V540" s="4">
        <f>IF(ISERROR(VLOOKUP($S$540,'TAR FIN'!$A$1:$O$88,15,0)),0,VLOOKUP($S$540,'TAR FIN'!$A$1:$O$88,15,0))</f>
        <v>0</v>
      </c>
      <c r="W540" s="4">
        <f>IF(ISERROR(VLOOKUP($T$540,'TAR FIN'!$A$1:$O$88,15,0)),0,VLOOKUP($T$540,'TAR FIN'!$A$1:$O$88,15,0))</f>
        <v>275.82</v>
      </c>
      <c r="X540" s="4">
        <f>IF(ISERROR(VLOOKUP($U$540,'TAR FIN'!$A$1:$O$88,15,0)),0,VLOOKUP($U$540,'TAR FIN'!$A$1:$O$88,15,0))</f>
        <v>82.64</v>
      </c>
      <c r="Y540" s="4"/>
      <c r="Z540" s="4">
        <f ca="1">('TUSD BE'!$AM$50+'TUSD BF'!$AM$50+'TUSD CVA'!$AM$50)*1</f>
        <v>324.61702766554697</v>
      </c>
      <c r="AA540" s="4">
        <f>('TE BE'!$AB$40+'TE BF'!$AB$40+'TE CVA'!$AB$40)*1</f>
        <v>75.142461409761111</v>
      </c>
      <c r="AB540" s="4">
        <f>$K$540*$V$540</f>
        <v>0</v>
      </c>
      <c r="AC540" s="4">
        <f>$M$540*$W$540</f>
        <v>99136.051859999992</v>
      </c>
      <c r="AD540" s="4">
        <f>$O$540*$X$540</f>
        <v>29702.71672</v>
      </c>
      <c r="AE540" s="4">
        <f>$K$540*$Y$540</f>
        <v>0</v>
      </c>
      <c r="AF540" s="4">
        <f ca="1">$M$540*$Z$540</f>
        <v>116674.82593463389</v>
      </c>
      <c r="AG540" s="4">
        <f>$O$540*$AA$540</f>
        <v>27007.92890728057</v>
      </c>
    </row>
    <row r="541" spans="1:33" ht="11.25" customHeight="1" x14ac:dyDescent="0.25">
      <c r="A541" s="3" t="s">
        <v>21</v>
      </c>
      <c r="B541" s="3" t="s">
        <v>46</v>
      </c>
      <c r="C541" s="3" t="s">
        <v>23</v>
      </c>
      <c r="D541" s="3" t="s">
        <v>47</v>
      </c>
      <c r="E541" s="3" t="s">
        <v>48</v>
      </c>
      <c r="F541" s="3" t="s">
        <v>25</v>
      </c>
      <c r="G541" s="3" t="s">
        <v>25</v>
      </c>
      <c r="H541" s="3" t="s">
        <v>25</v>
      </c>
      <c r="I541" s="6">
        <v>44562</v>
      </c>
      <c r="J541" s="4">
        <v>0</v>
      </c>
      <c r="K541" s="4">
        <v>0</v>
      </c>
      <c r="L541" s="4">
        <v>364.65699999999998</v>
      </c>
      <c r="M541" s="4">
        <v>364.65699999999998</v>
      </c>
      <c r="N541" s="4">
        <v>364.65699999999998</v>
      </c>
      <c r="O541" s="4">
        <v>364.65699999999998</v>
      </c>
      <c r="P541" s="4">
        <v>6</v>
      </c>
      <c r="Q541" s="3" t="s">
        <v>26</v>
      </c>
      <c r="R541" s="3">
        <v>0</v>
      </c>
      <c r="S541" s="4">
        <v>0</v>
      </c>
      <c r="T541" s="4">
        <v>63</v>
      </c>
      <c r="U541" s="4">
        <v>12</v>
      </c>
      <c r="V541" s="4">
        <f>IF(ISERROR(VLOOKUP($S$541,'TAR FIN'!$A$1:$O$88,15,0)),0,VLOOKUP($S$541,'TAR FIN'!$A$1:$O$88,15,0))</f>
        <v>0</v>
      </c>
      <c r="W541" s="4">
        <f>IF(ISERROR(VLOOKUP($T$541,'TAR FIN'!$A$1:$O$88,15,0)),0,VLOOKUP($T$541,'TAR FIN'!$A$1:$O$88,15,0))</f>
        <v>275.82</v>
      </c>
      <c r="X541" s="4">
        <f>IF(ISERROR(VLOOKUP($U$541,'TAR FIN'!$A$1:$O$88,15,0)),0,VLOOKUP($U$541,'TAR FIN'!$A$1:$O$88,15,0))</f>
        <v>82.64</v>
      </c>
      <c r="Y541" s="4"/>
      <c r="Z541" s="4">
        <f ca="1">('TUSD BE'!$AM$50+'TUSD BF'!$AM$50+'TUSD CVA'!$AM$50)*1</f>
        <v>324.61702766554697</v>
      </c>
      <c r="AA541" s="4">
        <f>('TE BE'!$AB$40+'TE BF'!$AB$40+'TE CVA'!$AB$40)*1</f>
        <v>75.142461409761111</v>
      </c>
      <c r="AB541" s="4">
        <f>$K$541*$V$541</f>
        <v>0</v>
      </c>
      <c r="AC541" s="4">
        <f>$M$541*$W$541</f>
        <v>100579.69373999999</v>
      </c>
      <c r="AD541" s="4">
        <f>$O$541*$X$541</f>
        <v>30135.25448</v>
      </c>
      <c r="AE541" s="4">
        <f>$K$541*$Y$541</f>
        <v>0</v>
      </c>
      <c r="AF541" s="4">
        <f ca="1">$M$541*$Z$541</f>
        <v>118373.87145743535</v>
      </c>
      <c r="AG541" s="4">
        <f>$O$541*$AA$541</f>
        <v>27401.224550299255</v>
      </c>
    </row>
    <row r="542" spans="1:33" ht="11.25" customHeight="1" x14ac:dyDescent="0.25">
      <c r="A542" s="3" t="s">
        <v>21</v>
      </c>
      <c r="B542" s="3" t="s">
        <v>46</v>
      </c>
      <c r="C542" s="3" t="s">
        <v>23</v>
      </c>
      <c r="D542" s="3" t="s">
        <v>47</v>
      </c>
      <c r="E542" s="3" t="s">
        <v>48</v>
      </c>
      <c r="F542" s="3" t="s">
        <v>25</v>
      </c>
      <c r="G542" s="3" t="s">
        <v>25</v>
      </c>
      <c r="H542" s="3" t="s">
        <v>25</v>
      </c>
      <c r="I542" s="6">
        <v>44593</v>
      </c>
      <c r="J542" s="4">
        <v>0</v>
      </c>
      <c r="K542" s="4">
        <v>0</v>
      </c>
      <c r="L542" s="4">
        <v>388.91399999999999</v>
      </c>
      <c r="M542" s="4">
        <v>388.91399999999999</v>
      </c>
      <c r="N542" s="4">
        <v>388.91399999999999</v>
      </c>
      <c r="O542" s="4">
        <v>388.91399999999999</v>
      </c>
      <c r="P542" s="4">
        <v>6</v>
      </c>
      <c r="Q542" s="3" t="s">
        <v>26</v>
      </c>
      <c r="R542" s="3">
        <v>0</v>
      </c>
      <c r="S542" s="4">
        <v>0</v>
      </c>
      <c r="T542" s="4">
        <v>63</v>
      </c>
      <c r="U542" s="4">
        <v>12</v>
      </c>
      <c r="V542" s="4">
        <f>IF(ISERROR(VLOOKUP($S$542,'TAR FIN'!$A$1:$O$88,15,0)),0,VLOOKUP($S$542,'TAR FIN'!$A$1:$O$88,15,0))</f>
        <v>0</v>
      </c>
      <c r="W542" s="4">
        <f>IF(ISERROR(VLOOKUP($T$542,'TAR FIN'!$A$1:$O$88,15,0)),0,VLOOKUP($T$542,'TAR FIN'!$A$1:$O$88,15,0))</f>
        <v>275.82</v>
      </c>
      <c r="X542" s="4">
        <f>IF(ISERROR(VLOOKUP($U$542,'TAR FIN'!$A$1:$O$88,15,0)),0,VLOOKUP($U$542,'TAR FIN'!$A$1:$O$88,15,0))</f>
        <v>82.64</v>
      </c>
      <c r="Y542" s="4"/>
      <c r="Z542" s="4">
        <f ca="1">('TUSD BE'!$AM$50+'TUSD BF'!$AM$50+'TUSD CVA'!$AM$50)*1</f>
        <v>324.61702766554697</v>
      </c>
      <c r="AA542" s="4">
        <f>('TE BE'!$AB$40+'TE BF'!$AB$40+'TE CVA'!$AB$40)*1</f>
        <v>75.142461409761111</v>
      </c>
      <c r="AB542" s="4">
        <f>$K$542*$V$542</f>
        <v>0</v>
      </c>
      <c r="AC542" s="4">
        <f>$M$542*$W$542</f>
        <v>107270.25947999999</v>
      </c>
      <c r="AD542" s="4">
        <f>$O$542*$X$542</f>
        <v>32139.85296</v>
      </c>
      <c r="AE542" s="4">
        <f>$K$542*$Y$542</f>
        <v>0</v>
      </c>
      <c r="AF542" s="4">
        <f ca="1">$M$542*$Z$542</f>
        <v>126248.10669751852</v>
      </c>
      <c r="AG542" s="4">
        <f>$O$542*$AA$542</f>
        <v>29223.955236715832</v>
      </c>
    </row>
    <row r="543" spans="1:33" ht="11.25" customHeight="1" x14ac:dyDescent="0.25">
      <c r="A543" s="3" t="s">
        <v>21</v>
      </c>
      <c r="B543" s="3" t="s">
        <v>46</v>
      </c>
      <c r="C543" s="3" t="s">
        <v>23</v>
      </c>
      <c r="D543" s="3" t="s">
        <v>47</v>
      </c>
      <c r="E543" s="3" t="s">
        <v>48</v>
      </c>
      <c r="F543" s="3" t="s">
        <v>25</v>
      </c>
      <c r="G543" s="3" t="s">
        <v>25</v>
      </c>
      <c r="H543" s="3" t="s">
        <v>25</v>
      </c>
      <c r="I543" s="6">
        <v>44621</v>
      </c>
      <c r="J543" s="4">
        <v>0</v>
      </c>
      <c r="K543" s="4">
        <v>0</v>
      </c>
      <c r="L543" s="4">
        <v>420.53800000000001</v>
      </c>
      <c r="M543" s="4">
        <v>420.53800000000001</v>
      </c>
      <c r="N543" s="4">
        <v>420.53800000000001</v>
      </c>
      <c r="O543" s="4">
        <v>420.53800000000001</v>
      </c>
      <c r="P543" s="4">
        <v>6</v>
      </c>
      <c r="Q543" s="3" t="s">
        <v>26</v>
      </c>
      <c r="R543" s="3">
        <v>0</v>
      </c>
      <c r="S543" s="4">
        <v>0</v>
      </c>
      <c r="T543" s="4">
        <v>63</v>
      </c>
      <c r="U543" s="4">
        <v>12</v>
      </c>
      <c r="V543" s="4">
        <f>IF(ISERROR(VLOOKUP($S$543,'TAR FIN'!$A$1:$O$88,15,0)),0,VLOOKUP($S$543,'TAR FIN'!$A$1:$O$88,15,0))</f>
        <v>0</v>
      </c>
      <c r="W543" s="4">
        <f>IF(ISERROR(VLOOKUP($T$543,'TAR FIN'!$A$1:$O$88,15,0)),0,VLOOKUP($T$543,'TAR FIN'!$A$1:$O$88,15,0))</f>
        <v>275.82</v>
      </c>
      <c r="X543" s="4">
        <f>IF(ISERROR(VLOOKUP($U$543,'TAR FIN'!$A$1:$O$88,15,0)),0,VLOOKUP($U$543,'TAR FIN'!$A$1:$O$88,15,0))</f>
        <v>82.64</v>
      </c>
      <c r="Y543" s="4"/>
      <c r="Z543" s="4">
        <f ca="1">('TUSD BE'!$AM$50+'TUSD BF'!$AM$50+'TUSD CVA'!$AM$50)*1</f>
        <v>324.61702766554697</v>
      </c>
      <c r="AA543" s="4">
        <f>('TE BE'!$AB$40+'TE BF'!$AB$40+'TE CVA'!$AB$40)*1</f>
        <v>75.142461409761111</v>
      </c>
      <c r="AB543" s="4">
        <f>$K$543*$V$543</f>
        <v>0</v>
      </c>
      <c r="AC543" s="4">
        <f>$M$543*$W$543</f>
        <v>115992.79115999999</v>
      </c>
      <c r="AD543" s="4">
        <f>$O$543*$X$543</f>
        <v>34753.260320000001</v>
      </c>
      <c r="AE543" s="4">
        <f>$K$543*$Y$543</f>
        <v>0</v>
      </c>
      <c r="AF543" s="4">
        <f ca="1">$M$543*$Z$543</f>
        <v>136513.7955804138</v>
      </c>
      <c r="AG543" s="4">
        <f>$O$543*$AA$543</f>
        <v>31600.260436338118</v>
      </c>
    </row>
    <row r="544" spans="1:33" ht="11.25" customHeight="1" x14ac:dyDescent="0.25">
      <c r="A544" s="3" t="s">
        <v>21</v>
      </c>
      <c r="B544" s="3" t="s">
        <v>46</v>
      </c>
      <c r="C544" s="3" t="s">
        <v>23</v>
      </c>
      <c r="D544" s="3" t="s">
        <v>47</v>
      </c>
      <c r="E544" s="3" t="s">
        <v>48</v>
      </c>
      <c r="F544" s="3" t="s">
        <v>25</v>
      </c>
      <c r="G544" s="3" t="s">
        <v>25</v>
      </c>
      <c r="H544" s="3" t="s">
        <v>25</v>
      </c>
      <c r="I544" s="6">
        <v>44652</v>
      </c>
      <c r="J544" s="4">
        <v>0</v>
      </c>
      <c r="K544" s="4">
        <v>0</v>
      </c>
      <c r="L544" s="4">
        <v>452.99599999999998</v>
      </c>
      <c r="M544" s="4">
        <v>452.99599999999998</v>
      </c>
      <c r="N544" s="4">
        <v>452.99599999999998</v>
      </c>
      <c r="O544" s="4">
        <v>452.99599999999998</v>
      </c>
      <c r="P544" s="4">
        <v>6</v>
      </c>
      <c r="Q544" s="3" t="s">
        <v>26</v>
      </c>
      <c r="R544" s="3">
        <v>0</v>
      </c>
      <c r="S544" s="4">
        <v>0</v>
      </c>
      <c r="T544" s="4">
        <v>63</v>
      </c>
      <c r="U544" s="4">
        <v>12</v>
      </c>
      <c r="V544" s="4">
        <f>IF(ISERROR(VLOOKUP($S$544,'TAR FIN'!$A$1:$O$88,15,0)),0,VLOOKUP($S$544,'TAR FIN'!$A$1:$O$88,15,0))</f>
        <v>0</v>
      </c>
      <c r="W544" s="4">
        <f>IF(ISERROR(VLOOKUP($T$544,'TAR FIN'!$A$1:$O$88,15,0)),0,VLOOKUP($T$544,'TAR FIN'!$A$1:$O$88,15,0))</f>
        <v>275.82</v>
      </c>
      <c r="X544" s="4">
        <f>IF(ISERROR(VLOOKUP($U$544,'TAR FIN'!$A$1:$O$88,15,0)),0,VLOOKUP($U$544,'TAR FIN'!$A$1:$O$88,15,0))</f>
        <v>82.64</v>
      </c>
      <c r="Y544" s="4"/>
      <c r="Z544" s="4">
        <f ca="1">('TUSD BE'!$AM$50+'TUSD BF'!$AM$50+'TUSD CVA'!$AM$50)*1</f>
        <v>324.61702766554697</v>
      </c>
      <c r="AA544" s="4">
        <f>('TE BE'!$AB$40+'TE BF'!$AB$40+'TE CVA'!$AB$40)*1</f>
        <v>75.142461409761111</v>
      </c>
      <c r="AB544" s="4">
        <f>$K$544*$V$544</f>
        <v>0</v>
      </c>
      <c r="AC544" s="4">
        <f>$M$544*$W$544</f>
        <v>124945.35672</v>
      </c>
      <c r="AD544" s="4">
        <f>$O$544*$X$544</f>
        <v>37435.589439999996</v>
      </c>
      <c r="AE544" s="4">
        <f>$K$544*$Y$544</f>
        <v>0</v>
      </c>
      <c r="AF544" s="4">
        <f ca="1">$M$544*$Z$544</f>
        <v>147050.21506438212</v>
      </c>
      <c r="AG544" s="4">
        <f>$O$544*$AA$544</f>
        <v>34039.234448776144</v>
      </c>
    </row>
    <row r="545" spans="1:33" ht="11.25" customHeight="1" x14ac:dyDescent="0.25">
      <c r="A545" s="3" t="s">
        <v>21</v>
      </c>
      <c r="B545" s="3" t="s">
        <v>46</v>
      </c>
      <c r="C545" s="3" t="s">
        <v>23</v>
      </c>
      <c r="D545" s="3" t="s">
        <v>47</v>
      </c>
      <c r="E545" s="3" t="s">
        <v>48</v>
      </c>
      <c r="F545" s="3" t="s">
        <v>25</v>
      </c>
      <c r="G545" s="3" t="s">
        <v>25</v>
      </c>
      <c r="H545" s="3" t="s">
        <v>25</v>
      </c>
      <c r="I545" s="6">
        <v>44682</v>
      </c>
      <c r="J545" s="4">
        <v>0</v>
      </c>
      <c r="K545" s="4">
        <v>0</v>
      </c>
      <c r="L545" s="4">
        <v>479.12</v>
      </c>
      <c r="M545" s="4">
        <v>479.12</v>
      </c>
      <c r="N545" s="4">
        <v>479.12</v>
      </c>
      <c r="O545" s="4">
        <v>479.12</v>
      </c>
      <c r="P545" s="4">
        <v>6</v>
      </c>
      <c r="Q545" s="3" t="s">
        <v>26</v>
      </c>
      <c r="R545" s="3">
        <v>0</v>
      </c>
      <c r="S545" s="4">
        <v>0</v>
      </c>
      <c r="T545" s="4">
        <v>63</v>
      </c>
      <c r="U545" s="4">
        <v>12</v>
      </c>
      <c r="V545" s="4">
        <f>IF(ISERROR(VLOOKUP($S$545,'TAR FIN'!$A$1:$O$88,15,0)),0,VLOOKUP($S$545,'TAR FIN'!$A$1:$O$88,15,0))</f>
        <v>0</v>
      </c>
      <c r="W545" s="4">
        <f>IF(ISERROR(VLOOKUP($T$545,'TAR FIN'!$A$1:$O$88,15,0)),0,VLOOKUP($T$545,'TAR FIN'!$A$1:$O$88,15,0))</f>
        <v>275.82</v>
      </c>
      <c r="X545" s="4">
        <f>IF(ISERROR(VLOOKUP($U$545,'TAR FIN'!$A$1:$O$88,15,0)),0,VLOOKUP($U$545,'TAR FIN'!$A$1:$O$88,15,0))</f>
        <v>82.64</v>
      </c>
      <c r="Y545" s="4"/>
      <c r="Z545" s="4">
        <f ca="1">('TUSD BE'!$AM$50+'TUSD BF'!$AM$50+'TUSD CVA'!$AM$50)*1</f>
        <v>324.61702766554697</v>
      </c>
      <c r="AA545" s="4">
        <f>('TE BE'!$AB$40+'TE BF'!$AB$40+'TE CVA'!$AB$40)*1</f>
        <v>75.142461409761111</v>
      </c>
      <c r="AB545" s="4">
        <f>$K$545*$V$545</f>
        <v>0</v>
      </c>
      <c r="AC545" s="4">
        <f>$M$545*$W$545</f>
        <v>132150.87839999999</v>
      </c>
      <c r="AD545" s="4">
        <f>$O$545*$X$545</f>
        <v>39594.476800000004</v>
      </c>
      <c r="AE545" s="4">
        <f>$K$545*$Y$545</f>
        <v>0</v>
      </c>
      <c r="AF545" s="4">
        <f ca="1">$M$545*$Z$545</f>
        <v>155530.51029511687</v>
      </c>
      <c r="AG545" s="4">
        <f>$O$545*$AA$545</f>
        <v>36002.256110644747</v>
      </c>
    </row>
    <row r="546" spans="1:33" ht="11.25" customHeight="1" x14ac:dyDescent="0.25">
      <c r="A546" s="3" t="s">
        <v>21</v>
      </c>
      <c r="B546" s="3" t="s">
        <v>46</v>
      </c>
      <c r="C546" s="3" t="s">
        <v>23</v>
      </c>
      <c r="D546" s="3" t="s">
        <v>47</v>
      </c>
      <c r="E546" s="3" t="s">
        <v>48</v>
      </c>
      <c r="F546" s="3" t="s">
        <v>25</v>
      </c>
      <c r="G546" s="3" t="s">
        <v>25</v>
      </c>
      <c r="H546" s="3" t="s">
        <v>25</v>
      </c>
      <c r="I546" s="6">
        <v>44713</v>
      </c>
      <c r="J546" s="4">
        <v>0</v>
      </c>
      <c r="K546" s="4">
        <v>0</v>
      </c>
      <c r="L546" s="4">
        <v>492.63400000000001</v>
      </c>
      <c r="M546" s="4">
        <v>492.63400000000001</v>
      </c>
      <c r="N546" s="4">
        <v>492.63400000000001</v>
      </c>
      <c r="O546" s="4">
        <v>492.63400000000001</v>
      </c>
      <c r="P546" s="4">
        <v>6</v>
      </c>
      <c r="Q546" s="3" t="s">
        <v>26</v>
      </c>
      <c r="R546" s="3">
        <v>0</v>
      </c>
      <c r="S546" s="4">
        <v>0</v>
      </c>
      <c r="T546" s="4">
        <v>63</v>
      </c>
      <c r="U546" s="4">
        <v>12</v>
      </c>
      <c r="V546" s="4">
        <f>IF(ISERROR(VLOOKUP($S$546,'TAR FIN'!$A$1:$O$88,15,0)),0,VLOOKUP($S$546,'TAR FIN'!$A$1:$O$88,15,0))</f>
        <v>0</v>
      </c>
      <c r="W546" s="4">
        <f>IF(ISERROR(VLOOKUP($T$546,'TAR FIN'!$A$1:$O$88,15,0)),0,VLOOKUP($T$546,'TAR FIN'!$A$1:$O$88,15,0))</f>
        <v>275.82</v>
      </c>
      <c r="X546" s="4">
        <f>IF(ISERROR(VLOOKUP($U$546,'TAR FIN'!$A$1:$O$88,15,0)),0,VLOOKUP($U$546,'TAR FIN'!$A$1:$O$88,15,0))</f>
        <v>82.64</v>
      </c>
      <c r="Y546" s="4"/>
      <c r="Z546" s="4">
        <f ca="1">('TUSD BE'!$AM$50+'TUSD BF'!$AM$50+'TUSD CVA'!$AM$50)*1</f>
        <v>324.61702766554697</v>
      </c>
      <c r="AA546" s="4">
        <f>('TE BE'!$AB$40+'TE BF'!$AB$40+'TE CVA'!$AB$40)*1</f>
        <v>75.142461409761111</v>
      </c>
      <c r="AB546" s="4">
        <f>$K$546*$V$546</f>
        <v>0</v>
      </c>
      <c r="AC546" s="4">
        <f>$M$546*$W$546</f>
        <v>135878.30987999999</v>
      </c>
      <c r="AD546" s="4">
        <f>$O$546*$X$546</f>
        <v>40711.273760000004</v>
      </c>
      <c r="AE546" s="4">
        <f>$K$546*$Y$546</f>
        <v>0</v>
      </c>
      <c r="AF546" s="4">
        <f ca="1">$M$546*$Z$546</f>
        <v>159917.38480698908</v>
      </c>
      <c r="AG546" s="4">
        <f>$O$546*$AA$546</f>
        <v>37017.731334136253</v>
      </c>
    </row>
    <row r="547" spans="1:33" ht="11.25" customHeight="1" x14ac:dyDescent="0.25">
      <c r="A547" s="3" t="s">
        <v>21</v>
      </c>
      <c r="B547" s="3" t="s">
        <v>46</v>
      </c>
      <c r="C547" s="3" t="s">
        <v>23</v>
      </c>
      <c r="D547" s="3" t="s">
        <v>47</v>
      </c>
      <c r="E547" s="3" t="s">
        <v>48</v>
      </c>
      <c r="F547" s="3" t="s">
        <v>25</v>
      </c>
      <c r="G547" s="3" t="s">
        <v>25</v>
      </c>
      <c r="H547" s="3" t="s">
        <v>25</v>
      </c>
      <c r="I547" s="6">
        <v>44743</v>
      </c>
      <c r="J547" s="4">
        <v>0</v>
      </c>
      <c r="K547" s="4">
        <v>0</v>
      </c>
      <c r="L547" s="4">
        <v>488.19900000000001</v>
      </c>
      <c r="M547" s="4">
        <v>488.19900000000001</v>
      </c>
      <c r="N547" s="4">
        <v>488.19900000000001</v>
      </c>
      <c r="O547" s="4">
        <v>488.19900000000001</v>
      </c>
      <c r="P547" s="4">
        <v>6</v>
      </c>
      <c r="Q547" s="3" t="s">
        <v>26</v>
      </c>
      <c r="R547" s="3">
        <v>0</v>
      </c>
      <c r="S547" s="4">
        <v>0</v>
      </c>
      <c r="T547" s="4">
        <v>63</v>
      </c>
      <c r="U547" s="4">
        <v>12</v>
      </c>
      <c r="V547" s="4">
        <f>IF(ISERROR(VLOOKUP($S$547,'TAR FIN'!$A$1:$O$88,15,0)),0,VLOOKUP($S$547,'TAR FIN'!$A$1:$O$88,15,0))</f>
        <v>0</v>
      </c>
      <c r="W547" s="4">
        <f>IF(ISERROR(VLOOKUP($T$547,'TAR FIN'!$A$1:$O$88,15,0)),0,VLOOKUP($T$547,'TAR FIN'!$A$1:$O$88,15,0))</f>
        <v>275.82</v>
      </c>
      <c r="X547" s="4">
        <f>IF(ISERROR(VLOOKUP($U$547,'TAR FIN'!$A$1:$O$88,15,0)),0,VLOOKUP($U$547,'TAR FIN'!$A$1:$O$88,15,0))</f>
        <v>82.64</v>
      </c>
      <c r="Y547" s="4"/>
      <c r="Z547" s="4">
        <f ca="1">('TUSD BE'!$AM$50+'TUSD BF'!$AM$50+'TUSD CVA'!$AM$50)*1</f>
        <v>324.61702766554697</v>
      </c>
      <c r="AA547" s="4">
        <f>('TE BE'!$AB$40+'TE BF'!$AB$40+'TE CVA'!$AB$40)*1</f>
        <v>75.142461409761111</v>
      </c>
      <c r="AB547" s="4">
        <f>$K$547*$V$547</f>
        <v>0</v>
      </c>
      <c r="AC547" s="4">
        <f>$M$547*$W$547</f>
        <v>134655.04818000001</v>
      </c>
      <c r="AD547" s="4">
        <f>$O$547*$X$547</f>
        <v>40344.765360000005</v>
      </c>
      <c r="AE547" s="4">
        <f>$K$547*$Y$547</f>
        <v>0</v>
      </c>
      <c r="AF547" s="4">
        <f ca="1">$M$547*$Z$547</f>
        <v>158477.70828929238</v>
      </c>
      <c r="AG547" s="4">
        <f>$O$547*$AA$547</f>
        <v>36684.474517783965</v>
      </c>
    </row>
    <row r="548" spans="1:33" ht="11.25" customHeight="1" x14ac:dyDescent="0.25">
      <c r="A548" s="3" t="s">
        <v>55</v>
      </c>
      <c r="B548" s="3" t="s">
        <v>46</v>
      </c>
      <c r="C548" s="3" t="s">
        <v>23</v>
      </c>
      <c r="D548" s="3" t="s">
        <v>47</v>
      </c>
      <c r="E548" s="3" t="s">
        <v>48</v>
      </c>
      <c r="F548" s="3" t="s">
        <v>25</v>
      </c>
      <c r="G548" s="3" t="s">
        <v>25</v>
      </c>
      <c r="H548" s="3" t="s">
        <v>25</v>
      </c>
      <c r="I548" s="6">
        <v>44774</v>
      </c>
      <c r="J548" s="4">
        <v>0</v>
      </c>
      <c r="K548" s="4">
        <v>0</v>
      </c>
      <c r="L548" s="4">
        <v>488.19900000000001</v>
      </c>
      <c r="M548" s="4">
        <v>488.19900000000001</v>
      </c>
      <c r="N548" s="4">
        <v>488.19900000000001</v>
      </c>
      <c r="O548" s="4">
        <v>488.19900000000001</v>
      </c>
      <c r="P548" s="4">
        <v>6</v>
      </c>
      <c r="Q548" s="3" t="s">
        <v>26</v>
      </c>
      <c r="R548" s="3">
        <v>0</v>
      </c>
      <c r="S548" s="4">
        <v>0</v>
      </c>
      <c r="T548" s="4">
        <v>63</v>
      </c>
      <c r="U548" s="4">
        <v>12</v>
      </c>
      <c r="V548" s="4">
        <f>IF(ISERROR(VLOOKUP($S$548,'TAR FIN'!$A$1:$O$88,15,0)),0,VLOOKUP($S$548,'TAR FIN'!$A$1:$O$88,15,0))</f>
        <v>0</v>
      </c>
      <c r="W548" s="4">
        <f>IF(ISERROR(VLOOKUP($T$548,'TAR FIN'!$A$1:$O$88,15,0)),0,VLOOKUP($T$548,'TAR FIN'!$A$1:$O$88,15,0))</f>
        <v>275.82</v>
      </c>
      <c r="X548" s="4">
        <f>IF(ISERROR(VLOOKUP($U$548,'TAR FIN'!$A$1:$O$88,15,0)),0,VLOOKUP($U$548,'TAR FIN'!$A$1:$O$88,15,0))</f>
        <v>82.64</v>
      </c>
      <c r="Y548" s="4"/>
      <c r="Z548" s="4">
        <f ca="1">('TUSD BE'!$AM$50+'TUSD BF'!$AM$50+'TUSD CVA'!$AM$50)*1</f>
        <v>324.61702766554697</v>
      </c>
      <c r="AA548" s="4">
        <f>('TE BE'!$AB$40+'TE BF'!$AB$40+'TE CVA'!$AB$40)*1</f>
        <v>75.142461409761111</v>
      </c>
      <c r="AB548" s="4">
        <f>$K$548*$V$548</f>
        <v>0</v>
      </c>
      <c r="AC548" s="4">
        <f>$M$548*$W$548</f>
        <v>134655.04818000001</v>
      </c>
      <c r="AD548" s="4">
        <f>$O$548*$X$548</f>
        <v>40344.765360000005</v>
      </c>
      <c r="AE548" s="4">
        <f>$K$548*$Y$548</f>
        <v>0</v>
      </c>
      <c r="AF548" s="4">
        <f ca="1">$M$548*$Z$548</f>
        <v>158477.70828929238</v>
      </c>
      <c r="AG548" s="4">
        <f>$O$548*$AA$548</f>
        <v>36684.474517783965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574F-5341-415E-A768-9089F231FB42}">
  <dimension ref="A1:AJ549"/>
  <sheetViews>
    <sheetView showGridLines="0" workbookViewId="0">
      <selection sqref="A1:AF20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H1" s="40" t="s">
        <v>646</v>
      </c>
      <c r="AI1" s="40" t="s">
        <v>651</v>
      </c>
      <c r="AJ1" s="40" t="s">
        <v>652</v>
      </c>
    </row>
    <row r="2" spans="1:36" ht="11.25" customHeight="1" x14ac:dyDescent="0.25">
      <c r="A2" s="3" t="s">
        <v>21</v>
      </c>
      <c r="B2" s="3" t="s">
        <v>35</v>
      </c>
      <c r="C2" s="3" t="s">
        <v>39</v>
      </c>
      <c r="D2" s="3" t="s">
        <v>44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58">
        <v>0</v>
      </c>
      <c r="L2" s="4">
        <v>35.457000000000001</v>
      </c>
      <c r="M2" s="58">
        <v>35.457000000000001</v>
      </c>
      <c r="N2" s="4">
        <v>35.457000000000001</v>
      </c>
      <c r="O2" s="58">
        <v>35.457000000000001</v>
      </c>
      <c r="P2" s="4">
        <v>0</v>
      </c>
      <c r="Q2" s="3" t="s">
        <v>26</v>
      </c>
      <c r="R2" s="3">
        <v>0</v>
      </c>
      <c r="S2" s="3">
        <v>0</v>
      </c>
      <c r="T2" s="3">
        <v>50</v>
      </c>
      <c r="U2" s="3">
        <v>61</v>
      </c>
      <c r="V2" s="58">
        <f>IF(ISERROR(VLOOKUP($S$2,'TAR FIN'!$A$1:$O$88,15,0)),0,VLOOKUP($S$2,'TAR FIN'!$A$1:$O$88,15,0))</f>
        <v>0</v>
      </c>
      <c r="W2" s="58">
        <f>IF(ISERROR(VLOOKUP($T$2,'TAR FIN'!$A$1:$O$88,15,0)),0,VLOOKUP($T$2,'TAR FIN'!$A$1:$O$88,15,0))*(1-0.04)</f>
        <v>57.964799999999997</v>
      </c>
      <c r="X2" s="58">
        <f>IF(ISERROR(VLOOKUP($U$2,'TAR FIN'!$A$1:$O$88,15,0)),0,VLOOKUP($U$2,'TAR FIN'!$A$1:$O$88,15,0))*(1-0.04)</f>
        <v>144.24959999999999</v>
      </c>
      <c r="Y2" s="58"/>
      <c r="Z2" s="58">
        <f ca="1">('TUSD BE'!$AM$12+'TUSD BF'!$AM$12+'TUSD CVA'!$AM$12)*1*(1-0.02)</f>
        <v>92.627340869864895</v>
      </c>
      <c r="AA2" s="58">
        <f>('TE BE'!$AB$6+'TE BF'!$AB$6+'TE CVA'!$AB$6)*1*(1-0.02)</f>
        <v>133.89020396648343</v>
      </c>
      <c r="AB2" s="58">
        <f>(SUBSIDIO!$J$2*SUBSIDIO!$V$2)*(0.04)/(1-0.04)</f>
        <v>0</v>
      </c>
      <c r="AC2" s="58">
        <f>((SUBSIDIO!$L$2*SUBSIDIO!$W$2)+(SUBSIDIO!$N$2*SUBSIDIO!$X$2))*(0.04)/(1-0.04)</f>
        <v>298.74649920000002</v>
      </c>
      <c r="AD2" s="58">
        <f>(SUBSIDIO!$J$2*SUBSIDIO!$Y$2)*(0.02)/(1-0.02)</f>
        <v>0</v>
      </c>
      <c r="AE2" s="58">
        <f ca="1">((SUBSIDIO!$L$2*SUBSIDIO!$Z$2)+(SUBSIDIO!$N$2*SUBSIDIO!$AA$2))*(0.02)/(1-0.02)</f>
        <v>163.91086912780415</v>
      </c>
      <c r="AF2" s="3" t="s">
        <v>647</v>
      </c>
      <c r="AH2" s="41" t="s">
        <v>653</v>
      </c>
      <c r="AI2" s="42">
        <f t="shared" ref="AI2:AI9" si="0">SUMIF($AF$2:$AF$549,AH2,$AB$2:$AB$549)+SUMIF($AF$2:$AF$549,AH2,$AC$2:$AC$549)</f>
        <v>0</v>
      </c>
      <c r="AJ2" s="42">
        <f t="shared" ref="AJ2:AJ9" si="1">SUMIF($AF$2:$AF$549,AH2,$AD$2:$AD$549)+SUMIF($AF$2:$AF$549,AH2,$AE$2:$AE$549)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39</v>
      </c>
      <c r="D3" s="3" t="s">
        <v>44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58">
        <v>0</v>
      </c>
      <c r="L3" s="4">
        <v>36.095999999999997</v>
      </c>
      <c r="M3" s="58">
        <v>36.095999999999997</v>
      </c>
      <c r="N3" s="4">
        <v>36.095999999999997</v>
      </c>
      <c r="O3" s="58">
        <v>36.095999999999997</v>
      </c>
      <c r="P3" s="4">
        <v>0</v>
      </c>
      <c r="Q3" s="3" t="s">
        <v>26</v>
      </c>
      <c r="R3" s="3">
        <v>0</v>
      </c>
      <c r="S3" s="3">
        <v>0</v>
      </c>
      <c r="T3" s="3">
        <v>50</v>
      </c>
      <c r="U3" s="3">
        <v>61</v>
      </c>
      <c r="V3" s="58">
        <f>IF(ISERROR(VLOOKUP($S$3,'TAR FIN'!$A$1:$O$88,15,0)),0,VLOOKUP($S$3,'TAR FIN'!$A$1:$O$88,15,0))</f>
        <v>0</v>
      </c>
      <c r="W3" s="58">
        <f>IF(ISERROR(VLOOKUP($T$3,'TAR FIN'!$A$1:$O$88,15,0)),0,VLOOKUP($T$3,'TAR FIN'!$A$1:$O$88,15,0))*(1-0.04)</f>
        <v>57.964799999999997</v>
      </c>
      <c r="X3" s="58">
        <f>IF(ISERROR(VLOOKUP($U$3,'TAR FIN'!$A$1:$O$88,15,0)),0,VLOOKUP($U$3,'TAR FIN'!$A$1:$O$88,15,0))*(1-0.04)</f>
        <v>144.24959999999999</v>
      </c>
      <c r="Y3" s="58"/>
      <c r="Z3" s="58">
        <f ca="1">('TUSD BE'!$AM$12+'TUSD BF'!$AM$12+'TUSD CVA'!$AM$12)*1*(1-0.02)</f>
        <v>92.627340869864895</v>
      </c>
      <c r="AA3" s="58">
        <f>('TE BE'!$AB$6+'TE BF'!$AB$6+'TE CVA'!$AB$6)*1*(1-0.02)</f>
        <v>133.89020396648343</v>
      </c>
      <c r="AB3" s="58">
        <f>(SUBSIDIO!$J$3*SUBSIDIO!$V$3)*(0.04)/(1-0.04)</f>
        <v>0</v>
      </c>
      <c r="AC3" s="58">
        <f>((SUBSIDIO!$L$3*SUBSIDIO!$W$3)+(SUBSIDIO!$N$3*SUBSIDIO!$X$3))*(0.04)/(1-0.04)</f>
        <v>304.13045759999994</v>
      </c>
      <c r="AD3" s="58">
        <f>(SUBSIDIO!$J$3*SUBSIDIO!$Y$3)*(0.02)/(1-0.02)</f>
        <v>0</v>
      </c>
      <c r="AE3" s="58">
        <f ca="1">((SUBSIDIO!$L$3*SUBSIDIO!$Z$3)+(SUBSIDIO!$N$3*SUBSIDIO!$AA$3))*(0.02)/(1-0.02)</f>
        <v>166.86484282475161</v>
      </c>
      <c r="AF3" s="3" t="s">
        <v>647</v>
      </c>
      <c r="AH3" s="41" t="s">
        <v>654</v>
      </c>
      <c r="AI3" s="42">
        <f t="shared" si="0"/>
        <v>0</v>
      </c>
      <c r="AJ3" s="42">
        <f t="shared" si="1"/>
        <v>0</v>
      </c>
    </row>
    <row r="4" spans="1:36" ht="11.25" customHeight="1" x14ac:dyDescent="0.25">
      <c r="A4" s="3" t="s">
        <v>21</v>
      </c>
      <c r="B4" s="3" t="s">
        <v>35</v>
      </c>
      <c r="C4" s="3" t="s">
        <v>39</v>
      </c>
      <c r="D4" s="3" t="s">
        <v>44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58">
        <v>0</v>
      </c>
      <c r="L4" s="4">
        <v>37.720999999999997</v>
      </c>
      <c r="M4" s="58">
        <v>37.720999999999997</v>
      </c>
      <c r="N4" s="4">
        <v>37.720999999999997</v>
      </c>
      <c r="O4" s="58">
        <v>37.720999999999997</v>
      </c>
      <c r="P4" s="4">
        <v>0</v>
      </c>
      <c r="Q4" s="3" t="s">
        <v>26</v>
      </c>
      <c r="R4" s="3">
        <v>0</v>
      </c>
      <c r="S4" s="3">
        <v>0</v>
      </c>
      <c r="T4" s="3">
        <v>50</v>
      </c>
      <c r="U4" s="3">
        <v>61</v>
      </c>
      <c r="V4" s="58">
        <f>IF(ISERROR(VLOOKUP($S$4,'TAR FIN'!$A$1:$O$88,15,0)),0,VLOOKUP($S$4,'TAR FIN'!$A$1:$O$88,15,0))</f>
        <v>0</v>
      </c>
      <c r="W4" s="58">
        <f>IF(ISERROR(VLOOKUP($T$4,'TAR FIN'!$A$1:$O$88,15,0)),0,VLOOKUP($T$4,'TAR FIN'!$A$1:$O$88,15,0))*(1-0.04)</f>
        <v>57.964799999999997</v>
      </c>
      <c r="X4" s="58">
        <f>IF(ISERROR(VLOOKUP($U$4,'TAR FIN'!$A$1:$O$88,15,0)),0,VLOOKUP($U$4,'TAR FIN'!$A$1:$O$88,15,0))*(1-0.04)</f>
        <v>144.24959999999999</v>
      </c>
      <c r="Y4" s="58"/>
      <c r="Z4" s="58">
        <f ca="1">('TUSD BE'!$AM$12+'TUSD BF'!$AM$12+'TUSD CVA'!$AM$12)*1*(1-0.02)</f>
        <v>92.627340869864895</v>
      </c>
      <c r="AA4" s="58">
        <f>('TE BE'!$AB$6+'TE BF'!$AB$6+'TE CVA'!$AB$6)*1*(1-0.02)</f>
        <v>133.89020396648343</v>
      </c>
      <c r="AB4" s="58">
        <f>(SUBSIDIO!$J$4*SUBSIDIO!$V$4)*(0.04)/(1-0.04)</f>
        <v>0</v>
      </c>
      <c r="AC4" s="58">
        <f>((SUBSIDIO!$L$4*SUBSIDIO!$W$4)+(SUBSIDIO!$N$4*SUBSIDIO!$X$4))*(0.04)/(1-0.04)</f>
        <v>317.82205759999999</v>
      </c>
      <c r="AD4" s="58">
        <f>(SUBSIDIO!$J$4*SUBSIDIO!$Y$4)*(0.02)/(1-0.02)</f>
        <v>0</v>
      </c>
      <c r="AE4" s="58">
        <f ca="1">((SUBSIDIO!$L$4*SUBSIDIO!$Z$4)+(SUBSIDIO!$N$4*SUBSIDIO!$AA$4))*(0.02)/(1-0.02)</f>
        <v>174.37690426065095</v>
      </c>
      <c r="AF4" s="3" t="s">
        <v>647</v>
      </c>
      <c r="AH4" s="41" t="s">
        <v>655</v>
      </c>
      <c r="AI4" s="42">
        <f t="shared" si="0"/>
        <v>0</v>
      </c>
      <c r="AJ4" s="42">
        <f t="shared" si="1"/>
        <v>0</v>
      </c>
    </row>
    <row r="5" spans="1:36" ht="11.25" customHeight="1" x14ac:dyDescent="0.25">
      <c r="A5" s="3" t="s">
        <v>21</v>
      </c>
      <c r="B5" s="3" t="s">
        <v>35</v>
      </c>
      <c r="C5" s="3" t="s">
        <v>39</v>
      </c>
      <c r="D5" s="3" t="s">
        <v>44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58">
        <v>0</v>
      </c>
      <c r="L5" s="4">
        <v>39.991</v>
      </c>
      <c r="M5" s="58">
        <v>39.991</v>
      </c>
      <c r="N5" s="4">
        <v>39.991</v>
      </c>
      <c r="O5" s="58">
        <v>39.991</v>
      </c>
      <c r="P5" s="4">
        <v>0</v>
      </c>
      <c r="Q5" s="3" t="s">
        <v>26</v>
      </c>
      <c r="R5" s="3">
        <v>0</v>
      </c>
      <c r="S5" s="3">
        <v>0</v>
      </c>
      <c r="T5" s="3">
        <v>50</v>
      </c>
      <c r="U5" s="3">
        <v>61</v>
      </c>
      <c r="V5" s="58">
        <f>IF(ISERROR(VLOOKUP($S$5,'TAR FIN'!$A$1:$O$88,15,0)),0,VLOOKUP($S$5,'TAR FIN'!$A$1:$O$88,15,0))</f>
        <v>0</v>
      </c>
      <c r="W5" s="58">
        <f>IF(ISERROR(VLOOKUP($T$5,'TAR FIN'!$A$1:$O$88,15,0)),0,VLOOKUP($T$5,'TAR FIN'!$A$1:$O$88,15,0))*(1-0.04)</f>
        <v>57.964799999999997</v>
      </c>
      <c r="X5" s="58">
        <f>IF(ISERROR(VLOOKUP($U$5,'TAR FIN'!$A$1:$O$88,15,0)),0,VLOOKUP($U$5,'TAR FIN'!$A$1:$O$88,15,0))*(1-0.04)</f>
        <v>144.24959999999999</v>
      </c>
      <c r="Y5" s="58"/>
      <c r="Z5" s="58">
        <f ca="1">('TUSD BE'!$AM$12+'TUSD BF'!$AM$12+'TUSD CVA'!$AM$12)*1*(1-0.02)</f>
        <v>92.627340869864895</v>
      </c>
      <c r="AA5" s="58">
        <f>('TE BE'!$AB$6+'TE BF'!$AB$6+'TE CVA'!$AB$6)*1*(1-0.02)</f>
        <v>133.89020396648343</v>
      </c>
      <c r="AB5" s="58">
        <f>(SUBSIDIO!$J$5*SUBSIDIO!$V$5)*(0.04)/(1-0.04)</f>
        <v>0</v>
      </c>
      <c r="AC5" s="58">
        <f>((SUBSIDIO!$L$5*SUBSIDIO!$W$5)+(SUBSIDIO!$N$5*SUBSIDIO!$X$5))*(0.04)/(1-0.04)</f>
        <v>336.94816960000003</v>
      </c>
      <c r="AD5" s="58">
        <f>(SUBSIDIO!$J$5*SUBSIDIO!$Y$5)*(0.02)/(1-0.02)</f>
        <v>0</v>
      </c>
      <c r="AE5" s="58">
        <f ca="1">((SUBSIDIO!$L$5*SUBSIDIO!$Z$5)+(SUBSIDIO!$N$5*SUBSIDIO!$AA$5))*(0.02)/(1-0.02)</f>
        <v>184.87067623572258</v>
      </c>
      <c r="AF5" s="3" t="s">
        <v>647</v>
      </c>
      <c r="AH5" s="41" t="s">
        <v>648</v>
      </c>
      <c r="AI5" s="42">
        <f t="shared" si="0"/>
        <v>12318.314172</v>
      </c>
      <c r="AJ5" s="42">
        <f t="shared" ca="1" si="1"/>
        <v>6784.3112007513564</v>
      </c>
    </row>
    <row r="6" spans="1:36" ht="11.25" customHeight="1" x14ac:dyDescent="0.25">
      <c r="A6" s="3" t="s">
        <v>21</v>
      </c>
      <c r="B6" s="3" t="s">
        <v>35</v>
      </c>
      <c r="C6" s="3" t="s">
        <v>39</v>
      </c>
      <c r="D6" s="3" t="s">
        <v>44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58">
        <v>0</v>
      </c>
      <c r="L6" s="4">
        <v>40.545999999999999</v>
      </c>
      <c r="M6" s="58">
        <v>40.545999999999999</v>
      </c>
      <c r="N6" s="4">
        <v>40.545999999999999</v>
      </c>
      <c r="O6" s="58">
        <v>40.545999999999999</v>
      </c>
      <c r="P6" s="4">
        <v>0</v>
      </c>
      <c r="Q6" s="3" t="s">
        <v>26</v>
      </c>
      <c r="R6" s="3">
        <v>0</v>
      </c>
      <c r="S6" s="3">
        <v>0</v>
      </c>
      <c r="T6" s="3">
        <v>50</v>
      </c>
      <c r="U6" s="3">
        <v>61</v>
      </c>
      <c r="V6" s="58">
        <f>IF(ISERROR(VLOOKUP($S$6,'TAR FIN'!$A$1:$O$88,15,0)),0,VLOOKUP($S$6,'TAR FIN'!$A$1:$O$88,15,0))</f>
        <v>0</v>
      </c>
      <c r="W6" s="58">
        <f>IF(ISERROR(VLOOKUP($T$6,'TAR FIN'!$A$1:$O$88,15,0)),0,VLOOKUP($T$6,'TAR FIN'!$A$1:$O$88,15,0))*(1-0.04)</f>
        <v>57.964799999999997</v>
      </c>
      <c r="X6" s="58">
        <f>IF(ISERROR(VLOOKUP($U$6,'TAR FIN'!$A$1:$O$88,15,0)),0,VLOOKUP($U$6,'TAR FIN'!$A$1:$O$88,15,0))*(1-0.04)</f>
        <v>144.24959999999999</v>
      </c>
      <c r="Y6" s="58"/>
      <c r="Z6" s="58">
        <f ca="1">('TUSD BE'!$AM$12+'TUSD BF'!$AM$12+'TUSD CVA'!$AM$12)*1*(1-0.02)</f>
        <v>92.627340869864895</v>
      </c>
      <c r="AA6" s="58">
        <f>('TE BE'!$AB$6+'TE BF'!$AB$6+'TE CVA'!$AB$6)*1*(1-0.02)</f>
        <v>133.89020396648343</v>
      </c>
      <c r="AB6" s="58">
        <f>(SUBSIDIO!$J$6*SUBSIDIO!$V$6)*(0.04)/(1-0.04)</f>
        <v>0</v>
      </c>
      <c r="AC6" s="58">
        <f>((SUBSIDIO!$L$6*SUBSIDIO!$W$6)+(SUBSIDIO!$N$6*SUBSIDIO!$X$6))*(0.04)/(1-0.04)</f>
        <v>341.6243776</v>
      </c>
      <c r="AD6" s="58">
        <f>(SUBSIDIO!$J$6*SUBSIDIO!$Y$6)*(0.02)/(1-0.02)</f>
        <v>0</v>
      </c>
      <c r="AE6" s="58">
        <f ca="1">((SUBSIDIO!$L$6*SUBSIDIO!$Z$6)+(SUBSIDIO!$N$6*SUBSIDIO!$AA$6))*(0.02)/(1-0.02)</f>
        <v>187.436334141522</v>
      </c>
      <c r="AF6" s="3" t="s">
        <v>647</v>
      </c>
      <c r="AH6" s="41" t="s">
        <v>647</v>
      </c>
      <c r="AI6" s="42">
        <f t="shared" si="0"/>
        <v>256491.38459520004</v>
      </c>
      <c r="AJ6" s="42">
        <f t="shared" ca="1" si="1"/>
        <v>142940.12385287479</v>
      </c>
    </row>
    <row r="7" spans="1:36" ht="11.25" customHeight="1" x14ac:dyDescent="0.25">
      <c r="A7" s="3" t="s">
        <v>21</v>
      </c>
      <c r="B7" s="3" t="s">
        <v>35</v>
      </c>
      <c r="C7" s="3" t="s">
        <v>39</v>
      </c>
      <c r="D7" s="3" t="s">
        <v>44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58">
        <v>0</v>
      </c>
      <c r="L7" s="4">
        <v>40.496000000000002</v>
      </c>
      <c r="M7" s="58">
        <v>40.496000000000002</v>
      </c>
      <c r="N7" s="4">
        <v>40.496000000000002</v>
      </c>
      <c r="O7" s="58">
        <v>40.496000000000002</v>
      </c>
      <c r="P7" s="4">
        <v>0</v>
      </c>
      <c r="Q7" s="3" t="s">
        <v>26</v>
      </c>
      <c r="R7" s="3">
        <v>0</v>
      </c>
      <c r="S7" s="3">
        <v>0</v>
      </c>
      <c r="T7" s="3">
        <v>50</v>
      </c>
      <c r="U7" s="3">
        <v>61</v>
      </c>
      <c r="V7" s="58">
        <f>IF(ISERROR(VLOOKUP($S$7,'TAR FIN'!$A$1:$O$88,15,0)),0,VLOOKUP($S$7,'TAR FIN'!$A$1:$O$88,15,0))</f>
        <v>0</v>
      </c>
      <c r="W7" s="58">
        <f>IF(ISERROR(VLOOKUP($T$7,'TAR FIN'!$A$1:$O$88,15,0)),0,VLOOKUP($T$7,'TAR FIN'!$A$1:$O$88,15,0))*(1-0.04)</f>
        <v>57.964799999999997</v>
      </c>
      <c r="X7" s="58">
        <f>IF(ISERROR(VLOOKUP($U$7,'TAR FIN'!$A$1:$O$88,15,0)),0,VLOOKUP($U$7,'TAR FIN'!$A$1:$O$88,15,0))*(1-0.04)</f>
        <v>144.24959999999999</v>
      </c>
      <c r="Y7" s="58"/>
      <c r="Z7" s="58">
        <f ca="1">('TUSD BE'!$AM$12+'TUSD BF'!$AM$12+'TUSD CVA'!$AM$12)*1*(1-0.02)</f>
        <v>92.627340869864895</v>
      </c>
      <c r="AA7" s="58">
        <f>('TE BE'!$AB$6+'TE BF'!$AB$6+'TE CVA'!$AB$6)*1*(1-0.02)</f>
        <v>133.89020396648343</v>
      </c>
      <c r="AB7" s="58">
        <f>(SUBSIDIO!$J$7*SUBSIDIO!$V$7)*(0.04)/(1-0.04)</f>
        <v>0</v>
      </c>
      <c r="AC7" s="58">
        <f>((SUBSIDIO!$L$7*SUBSIDIO!$W$7)+(SUBSIDIO!$N$7*SUBSIDIO!$X$7))*(0.04)/(1-0.04)</f>
        <v>341.20309760000004</v>
      </c>
      <c r="AD7" s="58">
        <f>(SUBSIDIO!$J$7*SUBSIDIO!$Y$7)*(0.02)/(1-0.02)</f>
        <v>0</v>
      </c>
      <c r="AE7" s="58">
        <f ca="1">((SUBSIDIO!$L$7*SUBSIDIO!$Z$7)+(SUBSIDIO!$N$7*SUBSIDIO!$AA$7))*(0.02)/(1-0.02)</f>
        <v>187.20519378964823</v>
      </c>
      <c r="AF7" s="3" t="s">
        <v>647</v>
      </c>
      <c r="AH7" s="41" t="s">
        <v>650</v>
      </c>
      <c r="AI7" s="42">
        <f t="shared" si="0"/>
        <v>3988.0055319999997</v>
      </c>
      <c r="AJ7" s="42">
        <f t="shared" ca="1" si="1"/>
        <v>4282.8283740563566</v>
      </c>
    </row>
    <row r="8" spans="1:36" ht="11.25" customHeight="1" x14ac:dyDescent="0.25">
      <c r="A8" s="3" t="s">
        <v>21</v>
      </c>
      <c r="B8" s="3" t="s">
        <v>35</v>
      </c>
      <c r="C8" s="3" t="s">
        <v>39</v>
      </c>
      <c r="D8" s="3" t="s">
        <v>44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58">
        <v>0</v>
      </c>
      <c r="L8" s="4">
        <v>39.790999999999997</v>
      </c>
      <c r="M8" s="58">
        <v>39.790999999999997</v>
      </c>
      <c r="N8" s="4">
        <v>39.790999999999997</v>
      </c>
      <c r="O8" s="58">
        <v>39.790999999999997</v>
      </c>
      <c r="P8" s="4">
        <v>0</v>
      </c>
      <c r="Q8" s="3" t="s">
        <v>26</v>
      </c>
      <c r="R8" s="3">
        <v>0</v>
      </c>
      <c r="S8" s="3">
        <v>0</v>
      </c>
      <c r="T8" s="3">
        <v>50</v>
      </c>
      <c r="U8" s="3">
        <v>61</v>
      </c>
      <c r="V8" s="58">
        <f>IF(ISERROR(VLOOKUP($S$8,'TAR FIN'!$A$1:$O$88,15,0)),0,VLOOKUP($S$8,'TAR FIN'!$A$1:$O$88,15,0))</f>
        <v>0</v>
      </c>
      <c r="W8" s="58">
        <f>IF(ISERROR(VLOOKUP($T$8,'TAR FIN'!$A$1:$O$88,15,0)),0,VLOOKUP($T$8,'TAR FIN'!$A$1:$O$88,15,0))*(1-0.04)</f>
        <v>57.964799999999997</v>
      </c>
      <c r="X8" s="58">
        <f>IF(ISERROR(VLOOKUP($U$8,'TAR FIN'!$A$1:$O$88,15,0)),0,VLOOKUP($U$8,'TAR FIN'!$A$1:$O$88,15,0))*(1-0.04)</f>
        <v>144.24959999999999</v>
      </c>
      <c r="Y8" s="58"/>
      <c r="Z8" s="58">
        <f ca="1">('TUSD BE'!$AM$12+'TUSD BF'!$AM$12+'TUSD CVA'!$AM$12)*1*(1-0.02)</f>
        <v>92.627340869864895</v>
      </c>
      <c r="AA8" s="58">
        <f>('TE BE'!$AB$6+'TE BF'!$AB$6+'TE CVA'!$AB$6)*1*(1-0.02)</f>
        <v>133.89020396648343</v>
      </c>
      <c r="AB8" s="58">
        <f>(SUBSIDIO!$J$8*SUBSIDIO!$V$8)*(0.04)/(1-0.04)</f>
        <v>0</v>
      </c>
      <c r="AC8" s="58">
        <f>((SUBSIDIO!$L$8*SUBSIDIO!$W$8)+(SUBSIDIO!$N$8*SUBSIDIO!$X$8))*(0.04)/(1-0.04)</f>
        <v>335.26304959999993</v>
      </c>
      <c r="AD8" s="58">
        <f>(SUBSIDIO!$J$8*SUBSIDIO!$Y$8)*(0.02)/(1-0.02)</f>
        <v>0</v>
      </c>
      <c r="AE8" s="58">
        <f ca="1">((SUBSIDIO!$L$8*SUBSIDIO!$Z$8)+(SUBSIDIO!$N$8*SUBSIDIO!$AA$8))*(0.02)/(1-0.02)</f>
        <v>183.94611482822722</v>
      </c>
      <c r="AF8" s="3" t="s">
        <v>647</v>
      </c>
      <c r="AH8" s="41" t="s">
        <v>649</v>
      </c>
      <c r="AI8" s="42">
        <f t="shared" si="0"/>
        <v>202342.17525000003</v>
      </c>
      <c r="AJ8" s="42">
        <f t="shared" ca="1" si="1"/>
        <v>213684.93197696874</v>
      </c>
    </row>
    <row r="9" spans="1:36" ht="11.25" customHeight="1" x14ac:dyDescent="0.25">
      <c r="A9" s="3" t="s">
        <v>21</v>
      </c>
      <c r="B9" s="3" t="s">
        <v>35</v>
      </c>
      <c r="C9" s="3" t="s">
        <v>39</v>
      </c>
      <c r="D9" s="3" t="s">
        <v>44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58">
        <v>0</v>
      </c>
      <c r="L9" s="4">
        <v>38.433</v>
      </c>
      <c r="M9" s="58">
        <v>38.433</v>
      </c>
      <c r="N9" s="4">
        <v>38.433</v>
      </c>
      <c r="O9" s="58">
        <v>38.433</v>
      </c>
      <c r="P9" s="4">
        <v>0</v>
      </c>
      <c r="Q9" s="3" t="s">
        <v>26</v>
      </c>
      <c r="R9" s="3">
        <v>0</v>
      </c>
      <c r="S9" s="3">
        <v>0</v>
      </c>
      <c r="T9" s="3">
        <v>50</v>
      </c>
      <c r="U9" s="3">
        <v>61</v>
      </c>
      <c r="V9" s="58">
        <f>IF(ISERROR(VLOOKUP($S$9,'TAR FIN'!$A$1:$O$88,15,0)),0,VLOOKUP($S$9,'TAR FIN'!$A$1:$O$88,15,0))</f>
        <v>0</v>
      </c>
      <c r="W9" s="58">
        <f>IF(ISERROR(VLOOKUP($T$9,'TAR FIN'!$A$1:$O$88,15,0)),0,VLOOKUP($T$9,'TAR FIN'!$A$1:$O$88,15,0))*(1-0.04)</f>
        <v>57.964799999999997</v>
      </c>
      <c r="X9" s="58">
        <f>IF(ISERROR(VLOOKUP($U$9,'TAR FIN'!$A$1:$O$88,15,0)),0,VLOOKUP($U$9,'TAR FIN'!$A$1:$O$88,15,0))*(1-0.04)</f>
        <v>144.24959999999999</v>
      </c>
      <c r="Y9" s="58"/>
      <c r="Z9" s="58">
        <f ca="1">('TUSD BE'!$AM$12+'TUSD BF'!$AM$12+'TUSD CVA'!$AM$12)*1*(1-0.02)</f>
        <v>92.627340869864895</v>
      </c>
      <c r="AA9" s="58">
        <f>('TE BE'!$AB$6+'TE BF'!$AB$6+'TE CVA'!$AB$6)*1*(1-0.02)</f>
        <v>133.89020396648343</v>
      </c>
      <c r="AB9" s="58">
        <f>(SUBSIDIO!$J$9*SUBSIDIO!$V$9)*(0.04)/(1-0.04)</f>
        <v>0</v>
      </c>
      <c r="AC9" s="58">
        <f>((SUBSIDIO!$L$9*SUBSIDIO!$W$9)+(SUBSIDIO!$N$9*SUBSIDIO!$X$9))*(0.04)/(1-0.04)</f>
        <v>323.82108479999999</v>
      </c>
      <c r="AD9" s="58">
        <f>(SUBSIDIO!$J$9*SUBSIDIO!$Y$9)*(0.02)/(1-0.02)</f>
        <v>0</v>
      </c>
      <c r="AE9" s="58">
        <f ca="1">((SUBSIDIO!$L$9*SUBSIDIO!$Z$9)+(SUBSIDIO!$N$9*SUBSIDIO!$AA$9))*(0.02)/(1-0.02)</f>
        <v>177.6683428713342</v>
      </c>
      <c r="AF9" s="3" t="s">
        <v>647</v>
      </c>
      <c r="AH9" s="41" t="s">
        <v>656</v>
      </c>
      <c r="AI9" s="42">
        <f t="shared" si="0"/>
        <v>0</v>
      </c>
      <c r="AJ9" s="42">
        <f t="shared" si="1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39</v>
      </c>
      <c r="D10" s="3" t="s">
        <v>44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58">
        <v>0</v>
      </c>
      <c r="L10" s="4">
        <v>34.738999999999997</v>
      </c>
      <c r="M10" s="58">
        <v>34.738999999999997</v>
      </c>
      <c r="N10" s="4">
        <v>34.738999999999997</v>
      </c>
      <c r="O10" s="58">
        <v>34.738999999999997</v>
      </c>
      <c r="P10" s="4">
        <v>0</v>
      </c>
      <c r="Q10" s="3" t="s">
        <v>26</v>
      </c>
      <c r="R10" s="3">
        <v>0</v>
      </c>
      <c r="S10" s="3">
        <v>0</v>
      </c>
      <c r="T10" s="3">
        <v>50</v>
      </c>
      <c r="U10" s="3">
        <v>61</v>
      </c>
      <c r="V10" s="58">
        <f>IF(ISERROR(VLOOKUP($S$10,'TAR FIN'!$A$1:$O$88,15,0)),0,VLOOKUP($S$10,'TAR FIN'!$A$1:$O$88,15,0))</f>
        <v>0</v>
      </c>
      <c r="W10" s="58">
        <f>IF(ISERROR(VLOOKUP($T$10,'TAR FIN'!$A$1:$O$88,15,0)),0,VLOOKUP($T$10,'TAR FIN'!$A$1:$O$88,15,0))*(1-0.04)</f>
        <v>57.964799999999997</v>
      </c>
      <c r="X10" s="58">
        <f>IF(ISERROR(VLOOKUP($U$10,'TAR FIN'!$A$1:$O$88,15,0)),0,VLOOKUP($U$10,'TAR FIN'!$A$1:$O$88,15,0))*(1-0.04)</f>
        <v>144.24959999999999</v>
      </c>
      <c r="Y10" s="58"/>
      <c r="Z10" s="58">
        <f ca="1">('TUSD BE'!$AM$12+'TUSD BF'!$AM$12+'TUSD CVA'!$AM$12)*1*(1-0.02)</f>
        <v>92.627340869864895</v>
      </c>
      <c r="AA10" s="58">
        <f>('TE BE'!$AB$6+'TE BF'!$AB$6+'TE CVA'!$AB$6)*1*(1-0.02)</f>
        <v>133.89020396648343</v>
      </c>
      <c r="AB10" s="58">
        <f>(SUBSIDIO!$J$10*SUBSIDIO!$V$10)*(0.04)/(1-0.04)</f>
        <v>0</v>
      </c>
      <c r="AC10" s="58">
        <f>((SUBSIDIO!$L$10*SUBSIDIO!$W$10)+(SUBSIDIO!$N$10*SUBSIDIO!$X$10))*(0.04)/(1-0.04)</f>
        <v>292.69691839999996</v>
      </c>
      <c r="AD10" s="58">
        <f>(SUBSIDIO!$J$10*SUBSIDIO!$Y$10)*(0.02)/(1-0.02)</f>
        <v>0</v>
      </c>
      <c r="AE10" s="58">
        <f ca="1">((SUBSIDIO!$L$10*SUBSIDIO!$Z$10)+(SUBSIDIO!$N$10*SUBSIDIO!$AA$10))*(0.02)/(1-0.02)</f>
        <v>160.59169367489599</v>
      </c>
      <c r="AF10" s="3" t="s">
        <v>647</v>
      </c>
    </row>
    <row r="11" spans="1:36" ht="11.25" customHeight="1" x14ac:dyDescent="0.25">
      <c r="A11" s="3" t="s">
        <v>21</v>
      </c>
      <c r="B11" s="3" t="s">
        <v>35</v>
      </c>
      <c r="C11" s="3" t="s">
        <v>39</v>
      </c>
      <c r="D11" s="3" t="s">
        <v>44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58">
        <v>0</v>
      </c>
      <c r="L11" s="4">
        <v>33.51</v>
      </c>
      <c r="M11" s="58">
        <v>33.51</v>
      </c>
      <c r="N11" s="4">
        <v>33.51</v>
      </c>
      <c r="O11" s="58">
        <v>33.51</v>
      </c>
      <c r="P11" s="4">
        <v>0</v>
      </c>
      <c r="Q11" s="3" t="s">
        <v>26</v>
      </c>
      <c r="R11" s="3">
        <v>0</v>
      </c>
      <c r="S11" s="3">
        <v>0</v>
      </c>
      <c r="T11" s="3">
        <v>50</v>
      </c>
      <c r="U11" s="3">
        <v>61</v>
      </c>
      <c r="V11" s="58">
        <f>IF(ISERROR(VLOOKUP($S$11,'TAR FIN'!$A$1:$O$88,15,0)),0,VLOOKUP($S$11,'TAR FIN'!$A$1:$O$88,15,0))</f>
        <v>0</v>
      </c>
      <c r="W11" s="58">
        <f>IF(ISERROR(VLOOKUP($T$11,'TAR FIN'!$A$1:$O$88,15,0)),0,VLOOKUP($T$11,'TAR FIN'!$A$1:$O$88,15,0))*(1-0.04)</f>
        <v>57.964799999999997</v>
      </c>
      <c r="X11" s="58">
        <f>IF(ISERROR(VLOOKUP($U$11,'TAR FIN'!$A$1:$O$88,15,0)),0,VLOOKUP($U$11,'TAR FIN'!$A$1:$O$88,15,0))*(1-0.04)</f>
        <v>144.24959999999999</v>
      </c>
      <c r="Y11" s="58"/>
      <c r="Z11" s="58">
        <f ca="1">('TUSD BE'!$AM$12+'TUSD BF'!$AM$12+'TUSD CVA'!$AM$12)*1*(1-0.02)</f>
        <v>92.627340869864895</v>
      </c>
      <c r="AA11" s="58">
        <f>('TE BE'!$AB$6+'TE BF'!$AB$6+'TE CVA'!$AB$6)*1*(1-0.02)</f>
        <v>133.89020396648343</v>
      </c>
      <c r="AB11" s="58">
        <f>(SUBSIDIO!$J$11*SUBSIDIO!$V$11)*(0.04)/(1-0.04)</f>
        <v>0</v>
      </c>
      <c r="AC11" s="58">
        <f>((SUBSIDIO!$L$11*SUBSIDIO!$W$11)+(SUBSIDIO!$N$11*SUBSIDIO!$X$11))*(0.04)/(1-0.04)</f>
        <v>282.34185599999995</v>
      </c>
      <c r="AD11" s="58">
        <f>(SUBSIDIO!$J$11*SUBSIDIO!$Y$11)*(0.02)/(1-0.02)</f>
        <v>0</v>
      </c>
      <c r="AE11" s="58">
        <f ca="1">((SUBSIDIO!$L$11*SUBSIDIO!$Z$11)+(SUBSIDIO!$N$11*SUBSIDIO!$AA$11))*(0.02)/(1-0.02)</f>
        <v>154.91026382583738</v>
      </c>
      <c r="AF11" s="3" t="s">
        <v>647</v>
      </c>
    </row>
    <row r="12" spans="1:36" ht="11.25" customHeight="1" x14ac:dyDescent="0.25">
      <c r="A12" s="3" t="s">
        <v>21</v>
      </c>
      <c r="B12" s="3" t="s">
        <v>35</v>
      </c>
      <c r="C12" s="3" t="s">
        <v>39</v>
      </c>
      <c r="D12" s="3" t="s">
        <v>44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58">
        <v>0</v>
      </c>
      <c r="L12" s="4">
        <v>32.932000000000002</v>
      </c>
      <c r="M12" s="58">
        <v>32.932000000000002</v>
      </c>
      <c r="N12" s="4">
        <v>32.932000000000002</v>
      </c>
      <c r="O12" s="58">
        <v>32.932000000000002</v>
      </c>
      <c r="P12" s="4">
        <v>0</v>
      </c>
      <c r="Q12" s="3" t="s">
        <v>26</v>
      </c>
      <c r="R12" s="3">
        <v>0</v>
      </c>
      <c r="S12" s="3">
        <v>0</v>
      </c>
      <c r="T12" s="3">
        <v>50</v>
      </c>
      <c r="U12" s="3">
        <v>61</v>
      </c>
      <c r="V12" s="58">
        <f>IF(ISERROR(VLOOKUP($S$12,'TAR FIN'!$A$1:$O$88,15,0)),0,VLOOKUP($S$12,'TAR FIN'!$A$1:$O$88,15,0))</f>
        <v>0</v>
      </c>
      <c r="W12" s="58">
        <f>IF(ISERROR(VLOOKUP($T$12,'TAR FIN'!$A$1:$O$88,15,0)),0,VLOOKUP($T$12,'TAR FIN'!$A$1:$O$88,15,0))*(1-0.04)</f>
        <v>57.964799999999997</v>
      </c>
      <c r="X12" s="58">
        <f>IF(ISERROR(VLOOKUP($U$12,'TAR FIN'!$A$1:$O$88,15,0)),0,VLOOKUP($U$12,'TAR FIN'!$A$1:$O$88,15,0))*(1-0.04)</f>
        <v>144.24959999999999</v>
      </c>
      <c r="Y12" s="58"/>
      <c r="Z12" s="58">
        <f ca="1">('TUSD BE'!$AM$12+'TUSD BF'!$AM$12+'TUSD CVA'!$AM$12)*1*(1-0.02)</f>
        <v>92.627340869864895</v>
      </c>
      <c r="AA12" s="58">
        <f>('TE BE'!$AB$6+'TE BF'!$AB$6+'TE CVA'!$AB$6)*1*(1-0.02)</f>
        <v>133.89020396648343</v>
      </c>
      <c r="AB12" s="58">
        <f>(SUBSIDIO!$J$12*SUBSIDIO!$V$12)*(0.04)/(1-0.04)</f>
        <v>0</v>
      </c>
      <c r="AC12" s="58">
        <f>((SUBSIDIO!$L$12*SUBSIDIO!$W$12)+(SUBSIDIO!$N$12*SUBSIDIO!$X$12))*(0.04)/(1-0.04)</f>
        <v>277.47185919999998</v>
      </c>
      <c r="AD12" s="58">
        <f>(SUBSIDIO!$J$12*SUBSIDIO!$Y$12)*(0.02)/(1-0.02)</f>
        <v>0</v>
      </c>
      <c r="AE12" s="58">
        <f ca="1">((SUBSIDIO!$L$12*SUBSIDIO!$Z$12)+(SUBSIDIO!$N$12*SUBSIDIO!$AA$12))*(0.02)/(1-0.02)</f>
        <v>152.23828135817601</v>
      </c>
      <c r="AF12" s="3" t="s">
        <v>647</v>
      </c>
    </row>
    <row r="13" spans="1:36" ht="11.25" customHeight="1" x14ac:dyDescent="0.25">
      <c r="A13" s="3" t="s">
        <v>55</v>
      </c>
      <c r="B13" s="3" t="s">
        <v>35</v>
      </c>
      <c r="C13" s="3" t="s">
        <v>39</v>
      </c>
      <c r="D13" s="3" t="s">
        <v>44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58">
        <v>0</v>
      </c>
      <c r="L13" s="4">
        <v>32.932000000000002</v>
      </c>
      <c r="M13" s="58">
        <v>32.932000000000002</v>
      </c>
      <c r="N13" s="4">
        <v>32.932000000000002</v>
      </c>
      <c r="O13" s="58">
        <v>32.932000000000002</v>
      </c>
      <c r="P13" s="4">
        <v>0</v>
      </c>
      <c r="Q13" s="3" t="s">
        <v>26</v>
      </c>
      <c r="R13" s="3">
        <v>0</v>
      </c>
      <c r="S13" s="3">
        <v>0</v>
      </c>
      <c r="T13" s="3">
        <v>50</v>
      </c>
      <c r="U13" s="3">
        <v>61</v>
      </c>
      <c r="V13" s="58">
        <f>IF(ISERROR(VLOOKUP($S$13,'TAR FIN'!$A$1:$O$88,15,0)),0,VLOOKUP($S$13,'TAR FIN'!$A$1:$O$88,15,0))</f>
        <v>0</v>
      </c>
      <c r="W13" s="58">
        <f>IF(ISERROR(VLOOKUP($T$13,'TAR FIN'!$A$1:$O$88,15,0)),0,VLOOKUP($T$13,'TAR FIN'!$A$1:$O$88,15,0))*(1-0.04)</f>
        <v>57.964799999999997</v>
      </c>
      <c r="X13" s="58">
        <f>IF(ISERROR(VLOOKUP($U$13,'TAR FIN'!$A$1:$O$88,15,0)),0,VLOOKUP($U$13,'TAR FIN'!$A$1:$O$88,15,0))*(1-0.04)</f>
        <v>144.24959999999999</v>
      </c>
      <c r="Y13" s="58"/>
      <c r="Z13" s="58">
        <f ca="1">('TUSD BE'!$AM$12+'TUSD BF'!$AM$12+'TUSD CVA'!$AM$12)*1*(1-0.02)</f>
        <v>92.627340869864895</v>
      </c>
      <c r="AA13" s="58">
        <f>('TE BE'!$AB$6+'TE BF'!$AB$6+'TE CVA'!$AB$6)*1*(1-0.02)</f>
        <v>133.89020396648343</v>
      </c>
      <c r="AB13" s="58">
        <f>(SUBSIDIO!$J$13*SUBSIDIO!$V$13)*(0.04)/(1-0.04)</f>
        <v>0</v>
      </c>
      <c r="AC13" s="58">
        <f>((SUBSIDIO!$L$13*SUBSIDIO!$W$13)+(SUBSIDIO!$N$13*SUBSIDIO!$X$13))*(0.04)/(1-0.04)</f>
        <v>277.47185919999998</v>
      </c>
      <c r="AD13" s="58">
        <f>(SUBSIDIO!$J$13*SUBSIDIO!$Y$13)*(0.02)/(1-0.02)</f>
        <v>0</v>
      </c>
      <c r="AE13" s="58">
        <f ca="1">((SUBSIDIO!$L$13*SUBSIDIO!$Z$13)+(SUBSIDIO!$N$13*SUBSIDIO!$AA$13))*(0.02)/(1-0.02)</f>
        <v>152.23828135817601</v>
      </c>
      <c r="AF13" s="3" t="s">
        <v>647</v>
      </c>
    </row>
    <row r="14" spans="1:36" ht="11.25" customHeight="1" x14ac:dyDescent="0.25">
      <c r="A14" s="3" t="s">
        <v>21</v>
      </c>
      <c r="B14" s="3" t="s">
        <v>35</v>
      </c>
      <c r="C14" s="3" t="s">
        <v>39</v>
      </c>
      <c r="D14" s="3" t="s">
        <v>44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134</v>
      </c>
      <c r="K14" s="58">
        <v>134</v>
      </c>
      <c r="L14" s="4">
        <v>0</v>
      </c>
      <c r="M14" s="58">
        <v>0</v>
      </c>
      <c r="N14" s="4">
        <v>0</v>
      </c>
      <c r="O14" s="58">
        <v>0</v>
      </c>
      <c r="P14" s="4">
        <v>1</v>
      </c>
      <c r="Q14" s="3" t="s">
        <v>26</v>
      </c>
      <c r="R14" s="3">
        <v>0</v>
      </c>
      <c r="S14" s="3">
        <v>46</v>
      </c>
      <c r="T14" s="3">
        <v>0</v>
      </c>
      <c r="U14" s="3">
        <v>0</v>
      </c>
      <c r="V14" s="58">
        <f>IF(ISERROR(VLOOKUP($S$14,'TAR FIN'!$A$1:$O$88,15,0)),0,VLOOKUP($S$14,'TAR FIN'!$A$1:$O$88,15,0))*(1-0.04)</f>
        <v>33.100799999999992</v>
      </c>
      <c r="W14" s="58">
        <f>IF(ISERROR(VLOOKUP($T$14,'TAR FIN'!$A$1:$O$88,15,0)),0,VLOOKUP($T$14,'TAR FIN'!$A$1:$O$88,15,0))</f>
        <v>0</v>
      </c>
      <c r="X14" s="58">
        <f>IF(ISERROR(VLOOKUP($U$14,'TAR FIN'!$A$1:$O$88,15,0)),0,VLOOKUP($U$14,'TAR FIN'!$A$1:$O$88,15,0))</f>
        <v>0</v>
      </c>
      <c r="Y14" s="58">
        <f ca="1">('TUSD BE'!$AM$10+'TUSD BF'!$AM$10+'TUSD CVA'!$AM$10)*1*(1-0.02)</f>
        <v>36.967413069659798</v>
      </c>
      <c r="Z14" s="58"/>
      <c r="AA14" s="58"/>
      <c r="AB14" s="58">
        <f>(SUBSIDIO!$J$14*SUBSIDIO!$V$14)*(0.04)/(1-0.04)</f>
        <v>184.81279999999998</v>
      </c>
      <c r="AC14" s="58">
        <f>((SUBSIDIO!$L$14*SUBSIDIO!$W$14)+(SUBSIDIO!$N$14*SUBSIDIO!$X$14))*(0.04)/(1-0.04)</f>
        <v>0</v>
      </c>
      <c r="AD14" s="58">
        <f ca="1">(SUBSIDIO!$J$14*SUBSIDIO!$Y$14)*(0.02)/(1-0.02)</f>
        <v>101.09455819049823</v>
      </c>
      <c r="AE14" s="58">
        <f>((SUBSIDIO!$L$14*SUBSIDIO!$Z$14)+(SUBSIDIO!$N$14*SUBSIDIO!$AA$14))*(0.02)/(1-0.02)</f>
        <v>0</v>
      </c>
      <c r="AF14" s="3" t="s">
        <v>647</v>
      </c>
    </row>
    <row r="15" spans="1:36" ht="11.25" customHeight="1" x14ac:dyDescent="0.25">
      <c r="A15" s="3" t="s">
        <v>21</v>
      </c>
      <c r="B15" s="3" t="s">
        <v>35</v>
      </c>
      <c r="C15" s="3" t="s">
        <v>39</v>
      </c>
      <c r="D15" s="3" t="s">
        <v>44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142</v>
      </c>
      <c r="K15" s="58">
        <v>142</v>
      </c>
      <c r="L15" s="4">
        <v>0</v>
      </c>
      <c r="M15" s="58">
        <v>0</v>
      </c>
      <c r="N15" s="4">
        <v>0</v>
      </c>
      <c r="O15" s="58">
        <v>0</v>
      </c>
      <c r="P15" s="4">
        <v>1</v>
      </c>
      <c r="Q15" s="3" t="s">
        <v>26</v>
      </c>
      <c r="R15" s="3">
        <v>0</v>
      </c>
      <c r="S15" s="3">
        <v>46</v>
      </c>
      <c r="T15" s="3">
        <v>0</v>
      </c>
      <c r="U15" s="3">
        <v>0</v>
      </c>
      <c r="V15" s="58">
        <f>IF(ISERROR(VLOOKUP($S$15,'TAR FIN'!$A$1:$O$88,15,0)),0,VLOOKUP($S$15,'TAR FIN'!$A$1:$O$88,15,0))*(1-0.04)</f>
        <v>33.100799999999992</v>
      </c>
      <c r="W15" s="58">
        <f>IF(ISERROR(VLOOKUP($T$15,'TAR FIN'!$A$1:$O$88,15,0)),0,VLOOKUP($T$15,'TAR FIN'!$A$1:$O$88,15,0))</f>
        <v>0</v>
      </c>
      <c r="X15" s="58">
        <f>IF(ISERROR(VLOOKUP($U$15,'TAR FIN'!$A$1:$O$88,15,0)),0,VLOOKUP($U$15,'TAR FIN'!$A$1:$O$88,15,0))</f>
        <v>0</v>
      </c>
      <c r="Y15" s="58">
        <f ca="1">('TUSD BE'!$AM$10+'TUSD BF'!$AM$10+'TUSD CVA'!$AM$10)*1*(1-0.02)</f>
        <v>36.967413069659798</v>
      </c>
      <c r="Z15" s="58"/>
      <c r="AA15" s="58"/>
      <c r="AB15" s="58">
        <f>(SUBSIDIO!$J$15*SUBSIDIO!$V$15)*(0.04)/(1-0.04)</f>
        <v>195.84639999999993</v>
      </c>
      <c r="AC15" s="58">
        <f>((SUBSIDIO!$L$15*SUBSIDIO!$W$15)+(SUBSIDIO!$N$15*SUBSIDIO!$X$15))*(0.04)/(1-0.04)</f>
        <v>0</v>
      </c>
      <c r="AD15" s="58">
        <f ca="1">(SUBSIDIO!$J$15*SUBSIDIO!$Y$15)*(0.02)/(1-0.02)</f>
        <v>107.13005420187126</v>
      </c>
      <c r="AE15" s="58">
        <f>((SUBSIDIO!$L$15*SUBSIDIO!$Z$15)+(SUBSIDIO!$N$15*SUBSIDIO!$AA$15))*(0.02)/(1-0.02)</f>
        <v>0</v>
      </c>
      <c r="AF15" s="3" t="s">
        <v>647</v>
      </c>
    </row>
    <row r="16" spans="1:36" ht="11.25" customHeight="1" x14ac:dyDescent="0.25">
      <c r="A16" s="3" t="s">
        <v>21</v>
      </c>
      <c r="B16" s="3" t="s">
        <v>35</v>
      </c>
      <c r="C16" s="3" t="s">
        <v>39</v>
      </c>
      <c r="D16" s="3" t="s">
        <v>44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153</v>
      </c>
      <c r="K16" s="58">
        <v>153</v>
      </c>
      <c r="L16" s="4">
        <v>0</v>
      </c>
      <c r="M16" s="58">
        <v>0</v>
      </c>
      <c r="N16" s="4">
        <v>0</v>
      </c>
      <c r="O16" s="58">
        <v>0</v>
      </c>
      <c r="P16" s="4">
        <v>1</v>
      </c>
      <c r="Q16" s="3" t="s">
        <v>26</v>
      </c>
      <c r="R16" s="3">
        <v>0</v>
      </c>
      <c r="S16" s="3">
        <v>46</v>
      </c>
      <c r="T16" s="3">
        <v>0</v>
      </c>
      <c r="U16" s="3">
        <v>0</v>
      </c>
      <c r="V16" s="58">
        <f>IF(ISERROR(VLOOKUP($S$16,'TAR FIN'!$A$1:$O$88,15,0)),0,VLOOKUP($S$16,'TAR FIN'!$A$1:$O$88,15,0))*(1-0.04)</f>
        <v>33.100799999999992</v>
      </c>
      <c r="W16" s="58">
        <f>IF(ISERROR(VLOOKUP($T$16,'TAR FIN'!$A$1:$O$88,15,0)),0,VLOOKUP($T$16,'TAR FIN'!$A$1:$O$88,15,0))</f>
        <v>0</v>
      </c>
      <c r="X16" s="58">
        <f>IF(ISERROR(VLOOKUP($U$16,'TAR FIN'!$A$1:$O$88,15,0)),0,VLOOKUP($U$16,'TAR FIN'!$A$1:$O$88,15,0))</f>
        <v>0</v>
      </c>
      <c r="Y16" s="58">
        <f ca="1">('TUSD BE'!$AM$10+'TUSD BF'!$AM$10+'TUSD CVA'!$AM$10)*1*(1-0.02)</f>
        <v>36.967413069659798</v>
      </c>
      <c r="Z16" s="58"/>
      <c r="AA16" s="58"/>
      <c r="AB16" s="58">
        <f>(SUBSIDIO!$J$16*SUBSIDIO!$V$16)*(0.04)/(1-0.04)</f>
        <v>211.01759999999996</v>
      </c>
      <c r="AC16" s="58">
        <f>((SUBSIDIO!$L$16*SUBSIDIO!$W$16)+(SUBSIDIO!$N$16*SUBSIDIO!$X$16))*(0.04)/(1-0.04)</f>
        <v>0</v>
      </c>
      <c r="AD16" s="58">
        <f ca="1">(SUBSIDIO!$J$16*SUBSIDIO!$Y$16)*(0.02)/(1-0.02)</f>
        <v>115.42886121750918</v>
      </c>
      <c r="AE16" s="58">
        <f>((SUBSIDIO!$L$16*SUBSIDIO!$Z$16)+(SUBSIDIO!$N$16*SUBSIDIO!$AA$16))*(0.02)/(1-0.02)</f>
        <v>0</v>
      </c>
      <c r="AF16" s="3" t="s">
        <v>647</v>
      </c>
    </row>
    <row r="17" spans="1:32" ht="11.25" customHeight="1" x14ac:dyDescent="0.25">
      <c r="A17" s="3" t="s">
        <v>21</v>
      </c>
      <c r="B17" s="3" t="s">
        <v>35</v>
      </c>
      <c r="C17" s="3" t="s">
        <v>39</v>
      </c>
      <c r="D17" s="3" t="s">
        <v>44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150</v>
      </c>
      <c r="K17" s="58">
        <v>150</v>
      </c>
      <c r="L17" s="4">
        <v>0</v>
      </c>
      <c r="M17" s="58">
        <v>0</v>
      </c>
      <c r="N17" s="4">
        <v>0</v>
      </c>
      <c r="O17" s="58">
        <v>0</v>
      </c>
      <c r="P17" s="4">
        <v>1</v>
      </c>
      <c r="Q17" s="3" t="s">
        <v>26</v>
      </c>
      <c r="R17" s="3">
        <v>0</v>
      </c>
      <c r="S17" s="3">
        <v>46</v>
      </c>
      <c r="T17" s="3">
        <v>0</v>
      </c>
      <c r="U17" s="3">
        <v>0</v>
      </c>
      <c r="V17" s="58">
        <f>IF(ISERROR(VLOOKUP($S$17,'TAR FIN'!$A$1:$O$88,15,0)),0,VLOOKUP($S$17,'TAR FIN'!$A$1:$O$88,15,0))*(1-0.04)</f>
        <v>33.100799999999992</v>
      </c>
      <c r="W17" s="58">
        <f>IF(ISERROR(VLOOKUP($T$17,'TAR FIN'!$A$1:$O$88,15,0)),0,VLOOKUP($T$17,'TAR FIN'!$A$1:$O$88,15,0))</f>
        <v>0</v>
      </c>
      <c r="X17" s="58">
        <f>IF(ISERROR(VLOOKUP($U$17,'TAR FIN'!$A$1:$O$88,15,0)),0,VLOOKUP($U$17,'TAR FIN'!$A$1:$O$88,15,0))</f>
        <v>0</v>
      </c>
      <c r="Y17" s="58">
        <f ca="1">('TUSD BE'!$AM$10+'TUSD BF'!$AM$10+'TUSD CVA'!$AM$10)*1*(1-0.02)</f>
        <v>36.967413069659798</v>
      </c>
      <c r="Z17" s="58"/>
      <c r="AA17" s="58"/>
      <c r="AB17" s="58">
        <f>(SUBSIDIO!$J$17*SUBSIDIO!$V$17)*(0.04)/(1-0.04)</f>
        <v>206.87999999999997</v>
      </c>
      <c r="AC17" s="58">
        <f>((SUBSIDIO!$L$17*SUBSIDIO!$W$17)+(SUBSIDIO!$N$17*SUBSIDIO!$X$17))*(0.04)/(1-0.04)</f>
        <v>0</v>
      </c>
      <c r="AD17" s="58">
        <f ca="1">(SUBSIDIO!$J$17*SUBSIDIO!$Y$17)*(0.02)/(1-0.02)</f>
        <v>113.16555021324429</v>
      </c>
      <c r="AE17" s="58">
        <f>((SUBSIDIO!$L$17*SUBSIDIO!$Z$17)+(SUBSIDIO!$N$17*SUBSIDIO!$AA$17))*(0.02)/(1-0.02)</f>
        <v>0</v>
      </c>
      <c r="AF17" s="3" t="s">
        <v>647</v>
      </c>
    </row>
    <row r="18" spans="1:32" ht="11.25" customHeight="1" x14ac:dyDescent="0.25">
      <c r="A18" s="3" t="s">
        <v>21</v>
      </c>
      <c r="B18" s="3" t="s">
        <v>35</v>
      </c>
      <c r="C18" s="3" t="s">
        <v>39</v>
      </c>
      <c r="D18" s="3" t="s">
        <v>44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167</v>
      </c>
      <c r="K18" s="58">
        <v>167</v>
      </c>
      <c r="L18" s="4">
        <v>0</v>
      </c>
      <c r="M18" s="58">
        <v>0</v>
      </c>
      <c r="N18" s="4">
        <v>0</v>
      </c>
      <c r="O18" s="58">
        <v>0</v>
      </c>
      <c r="P18" s="4">
        <v>1</v>
      </c>
      <c r="Q18" s="3" t="s">
        <v>26</v>
      </c>
      <c r="R18" s="3">
        <v>0</v>
      </c>
      <c r="S18" s="3">
        <v>46</v>
      </c>
      <c r="T18" s="3">
        <v>0</v>
      </c>
      <c r="U18" s="3">
        <v>0</v>
      </c>
      <c r="V18" s="58">
        <f>IF(ISERROR(VLOOKUP($S$18,'TAR FIN'!$A$1:$O$88,15,0)),0,VLOOKUP($S$18,'TAR FIN'!$A$1:$O$88,15,0))*(1-0.04)</f>
        <v>33.100799999999992</v>
      </c>
      <c r="W18" s="58">
        <f>IF(ISERROR(VLOOKUP($T$18,'TAR FIN'!$A$1:$O$88,15,0)),0,VLOOKUP($T$18,'TAR FIN'!$A$1:$O$88,15,0))</f>
        <v>0</v>
      </c>
      <c r="X18" s="58">
        <f>IF(ISERROR(VLOOKUP($U$18,'TAR FIN'!$A$1:$O$88,15,0)),0,VLOOKUP($U$18,'TAR FIN'!$A$1:$O$88,15,0))</f>
        <v>0</v>
      </c>
      <c r="Y18" s="58">
        <f ca="1">('TUSD BE'!$AM$10+'TUSD BF'!$AM$10+'TUSD CVA'!$AM$10)*1*(1-0.02)</f>
        <v>36.967413069659798</v>
      </c>
      <c r="Z18" s="58"/>
      <c r="AA18" s="58"/>
      <c r="AB18" s="58">
        <f>(SUBSIDIO!$J$18*SUBSIDIO!$V$18)*(0.04)/(1-0.04)</f>
        <v>230.32639999999995</v>
      </c>
      <c r="AC18" s="58">
        <f>((SUBSIDIO!$L$18*SUBSIDIO!$W$18)+(SUBSIDIO!$N$18*SUBSIDIO!$X$18))*(0.04)/(1-0.04)</f>
        <v>0</v>
      </c>
      <c r="AD18" s="58">
        <f ca="1">(SUBSIDIO!$J$18*SUBSIDIO!$Y$18)*(0.02)/(1-0.02)</f>
        <v>125.99097923741196</v>
      </c>
      <c r="AE18" s="58">
        <f>((SUBSIDIO!$L$18*SUBSIDIO!$Z$18)+(SUBSIDIO!$N$18*SUBSIDIO!$AA$18))*(0.02)/(1-0.02)</f>
        <v>0</v>
      </c>
      <c r="AF18" s="3" t="s">
        <v>647</v>
      </c>
    </row>
    <row r="19" spans="1:32" ht="11.25" customHeight="1" x14ac:dyDescent="0.25">
      <c r="A19" s="3" t="s">
        <v>21</v>
      </c>
      <c r="B19" s="3" t="s">
        <v>35</v>
      </c>
      <c r="C19" s="3" t="s">
        <v>39</v>
      </c>
      <c r="D19" s="3" t="s">
        <v>44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163</v>
      </c>
      <c r="K19" s="58">
        <v>163</v>
      </c>
      <c r="L19" s="4">
        <v>0</v>
      </c>
      <c r="M19" s="58">
        <v>0</v>
      </c>
      <c r="N19" s="4">
        <v>0</v>
      </c>
      <c r="O19" s="58">
        <v>0</v>
      </c>
      <c r="P19" s="4">
        <v>1</v>
      </c>
      <c r="Q19" s="3" t="s">
        <v>26</v>
      </c>
      <c r="R19" s="3">
        <v>0</v>
      </c>
      <c r="S19" s="3">
        <v>46</v>
      </c>
      <c r="T19" s="3">
        <v>0</v>
      </c>
      <c r="U19" s="3">
        <v>0</v>
      </c>
      <c r="V19" s="58">
        <f>IF(ISERROR(VLOOKUP($S$19,'TAR FIN'!$A$1:$O$88,15,0)),0,VLOOKUP($S$19,'TAR FIN'!$A$1:$O$88,15,0))*(1-0.04)</f>
        <v>33.100799999999992</v>
      </c>
      <c r="W19" s="58">
        <f>IF(ISERROR(VLOOKUP($T$19,'TAR FIN'!$A$1:$O$88,15,0)),0,VLOOKUP($T$19,'TAR FIN'!$A$1:$O$88,15,0))</f>
        <v>0</v>
      </c>
      <c r="X19" s="58">
        <f>IF(ISERROR(VLOOKUP($U$19,'TAR FIN'!$A$1:$O$88,15,0)),0,VLOOKUP($U$19,'TAR FIN'!$A$1:$O$88,15,0))</f>
        <v>0</v>
      </c>
      <c r="Y19" s="58">
        <f ca="1">('TUSD BE'!$AM$10+'TUSD BF'!$AM$10+'TUSD CVA'!$AM$10)*1*(1-0.02)</f>
        <v>36.967413069659798</v>
      </c>
      <c r="Z19" s="58"/>
      <c r="AA19" s="58"/>
      <c r="AB19" s="58">
        <f>(SUBSIDIO!$J$19*SUBSIDIO!$V$19)*(0.04)/(1-0.04)</f>
        <v>224.80959999999996</v>
      </c>
      <c r="AC19" s="58">
        <f>((SUBSIDIO!$L$19*SUBSIDIO!$W$19)+(SUBSIDIO!$N$19*SUBSIDIO!$X$19))*(0.04)/(1-0.04)</f>
        <v>0</v>
      </c>
      <c r="AD19" s="58">
        <f ca="1">(SUBSIDIO!$J$19*SUBSIDIO!$Y$19)*(0.02)/(1-0.02)</f>
        <v>122.97323123172545</v>
      </c>
      <c r="AE19" s="58">
        <f>((SUBSIDIO!$L$19*SUBSIDIO!$Z$19)+(SUBSIDIO!$N$19*SUBSIDIO!$AA$19))*(0.02)/(1-0.02)</f>
        <v>0</v>
      </c>
      <c r="AF19" s="3" t="s">
        <v>647</v>
      </c>
    </row>
    <row r="20" spans="1:32" ht="11.25" customHeight="1" x14ac:dyDescent="0.25">
      <c r="A20" s="3" t="s">
        <v>21</v>
      </c>
      <c r="B20" s="3" t="s">
        <v>35</v>
      </c>
      <c r="C20" s="3" t="s">
        <v>39</v>
      </c>
      <c r="D20" s="3" t="s">
        <v>44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151</v>
      </c>
      <c r="K20" s="58">
        <v>151</v>
      </c>
      <c r="L20" s="4">
        <v>0</v>
      </c>
      <c r="M20" s="58">
        <v>0</v>
      </c>
      <c r="N20" s="4">
        <v>0</v>
      </c>
      <c r="O20" s="58">
        <v>0</v>
      </c>
      <c r="P20" s="4">
        <v>1</v>
      </c>
      <c r="Q20" s="3" t="s">
        <v>26</v>
      </c>
      <c r="R20" s="3">
        <v>0</v>
      </c>
      <c r="S20" s="3">
        <v>46</v>
      </c>
      <c r="T20" s="3">
        <v>0</v>
      </c>
      <c r="U20" s="3">
        <v>0</v>
      </c>
      <c r="V20" s="58">
        <f>IF(ISERROR(VLOOKUP($S$20,'TAR FIN'!$A$1:$O$88,15,0)),0,VLOOKUP($S$20,'TAR FIN'!$A$1:$O$88,15,0))*(1-0.04)</f>
        <v>33.100799999999992</v>
      </c>
      <c r="W20" s="58">
        <f>IF(ISERROR(VLOOKUP($T$20,'TAR FIN'!$A$1:$O$88,15,0)),0,VLOOKUP($T$20,'TAR FIN'!$A$1:$O$88,15,0))</f>
        <v>0</v>
      </c>
      <c r="X20" s="58">
        <f>IF(ISERROR(VLOOKUP($U$20,'TAR FIN'!$A$1:$O$88,15,0)),0,VLOOKUP($U$20,'TAR FIN'!$A$1:$O$88,15,0))</f>
        <v>0</v>
      </c>
      <c r="Y20" s="58">
        <f ca="1">('TUSD BE'!$AM$10+'TUSD BF'!$AM$10+'TUSD CVA'!$AM$10)*1*(1-0.02)</f>
        <v>36.967413069659798</v>
      </c>
      <c r="Z20" s="58"/>
      <c r="AA20" s="58"/>
      <c r="AB20" s="58">
        <f>(SUBSIDIO!$J$20*SUBSIDIO!$V$20)*(0.04)/(1-0.04)</f>
        <v>208.25919999999996</v>
      </c>
      <c r="AC20" s="58">
        <f>((SUBSIDIO!$L$20*SUBSIDIO!$W$20)+(SUBSIDIO!$N$20*SUBSIDIO!$X$20))*(0.04)/(1-0.04)</f>
        <v>0</v>
      </c>
      <c r="AD20" s="58">
        <f ca="1">(SUBSIDIO!$J$20*SUBSIDIO!$Y$20)*(0.02)/(1-0.02)</f>
        <v>113.91998721466592</v>
      </c>
      <c r="AE20" s="58">
        <f>((SUBSIDIO!$L$20*SUBSIDIO!$Z$20)+(SUBSIDIO!$N$20*SUBSIDIO!$AA$20))*(0.02)/(1-0.02)</f>
        <v>0</v>
      </c>
      <c r="AF20" s="3" t="s">
        <v>647</v>
      </c>
    </row>
    <row r="21" spans="1:32" ht="11.25" customHeight="1" x14ac:dyDescent="0.25">
      <c r="A21" s="3" t="s">
        <v>21</v>
      </c>
      <c r="B21" s="3" t="s">
        <v>35</v>
      </c>
      <c r="C21" s="3" t="s">
        <v>39</v>
      </c>
      <c r="D21" s="3" t="s">
        <v>44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151</v>
      </c>
      <c r="K21" s="58">
        <v>151</v>
      </c>
      <c r="L21" s="4">
        <v>0</v>
      </c>
      <c r="M21" s="58">
        <v>0</v>
      </c>
      <c r="N21" s="4">
        <v>0</v>
      </c>
      <c r="O21" s="58">
        <v>0</v>
      </c>
      <c r="P21" s="4">
        <v>1</v>
      </c>
      <c r="Q21" s="3" t="s">
        <v>26</v>
      </c>
      <c r="R21" s="3">
        <v>0</v>
      </c>
      <c r="S21" s="3">
        <v>46</v>
      </c>
      <c r="T21" s="3">
        <v>0</v>
      </c>
      <c r="U21" s="3">
        <v>0</v>
      </c>
      <c r="V21" s="58">
        <f>IF(ISERROR(VLOOKUP($S$21,'TAR FIN'!$A$1:$O$88,15,0)),0,VLOOKUP($S$21,'TAR FIN'!$A$1:$O$88,15,0))*(1-0.04)</f>
        <v>33.100799999999992</v>
      </c>
      <c r="W21" s="58">
        <f>IF(ISERROR(VLOOKUP($T$21,'TAR FIN'!$A$1:$O$88,15,0)),0,VLOOKUP($T$21,'TAR FIN'!$A$1:$O$88,15,0))</f>
        <v>0</v>
      </c>
      <c r="X21" s="58">
        <f>IF(ISERROR(VLOOKUP($U$21,'TAR FIN'!$A$1:$O$88,15,0)),0,VLOOKUP($U$21,'TAR FIN'!$A$1:$O$88,15,0))</f>
        <v>0</v>
      </c>
      <c r="Y21" s="58">
        <f ca="1">('TUSD BE'!$AM$10+'TUSD BF'!$AM$10+'TUSD CVA'!$AM$10)*1*(1-0.02)</f>
        <v>36.967413069659798</v>
      </c>
      <c r="Z21" s="58"/>
      <c r="AA21" s="58"/>
      <c r="AB21" s="58">
        <f>(SUBSIDIO!$J$21*SUBSIDIO!$V$21)*(0.04)/(1-0.04)</f>
        <v>208.25919999999996</v>
      </c>
      <c r="AC21" s="58">
        <f>((SUBSIDIO!$L$21*SUBSIDIO!$W$21)+(SUBSIDIO!$N$21*SUBSIDIO!$X$21))*(0.04)/(1-0.04)</f>
        <v>0</v>
      </c>
      <c r="AD21" s="58">
        <f ca="1">(SUBSIDIO!$J$21*SUBSIDIO!$Y$21)*(0.02)/(1-0.02)</f>
        <v>113.91998721466592</v>
      </c>
      <c r="AE21" s="58">
        <f>((SUBSIDIO!$L$21*SUBSIDIO!$Z$21)+(SUBSIDIO!$N$21*SUBSIDIO!$AA$21))*(0.02)/(1-0.02)</f>
        <v>0</v>
      </c>
      <c r="AF21" s="3" t="s">
        <v>647</v>
      </c>
    </row>
    <row r="22" spans="1:32" ht="11.25" customHeight="1" x14ac:dyDescent="0.25">
      <c r="A22" s="3" t="s">
        <v>21</v>
      </c>
      <c r="B22" s="3" t="s">
        <v>35</v>
      </c>
      <c r="C22" s="3" t="s">
        <v>39</v>
      </c>
      <c r="D22" s="3" t="s">
        <v>44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170</v>
      </c>
      <c r="K22" s="58">
        <v>170</v>
      </c>
      <c r="L22" s="4">
        <v>0</v>
      </c>
      <c r="M22" s="58">
        <v>0</v>
      </c>
      <c r="N22" s="4">
        <v>0</v>
      </c>
      <c r="O22" s="58">
        <v>0</v>
      </c>
      <c r="P22" s="4">
        <v>1</v>
      </c>
      <c r="Q22" s="3" t="s">
        <v>26</v>
      </c>
      <c r="R22" s="3">
        <v>0</v>
      </c>
      <c r="S22" s="3">
        <v>46</v>
      </c>
      <c r="T22" s="3">
        <v>0</v>
      </c>
      <c r="U22" s="3">
        <v>0</v>
      </c>
      <c r="V22" s="58">
        <f>IF(ISERROR(VLOOKUP($S$22,'TAR FIN'!$A$1:$O$88,15,0)),0,VLOOKUP($S$22,'TAR FIN'!$A$1:$O$88,15,0))*(1-0.04)</f>
        <v>33.100799999999992</v>
      </c>
      <c r="W22" s="58">
        <f>IF(ISERROR(VLOOKUP($T$22,'TAR FIN'!$A$1:$O$88,15,0)),0,VLOOKUP($T$22,'TAR FIN'!$A$1:$O$88,15,0))</f>
        <v>0</v>
      </c>
      <c r="X22" s="58">
        <f>IF(ISERROR(VLOOKUP($U$22,'TAR FIN'!$A$1:$O$88,15,0)),0,VLOOKUP($U$22,'TAR FIN'!$A$1:$O$88,15,0))</f>
        <v>0</v>
      </c>
      <c r="Y22" s="58">
        <f ca="1">('TUSD BE'!$AM$10+'TUSD BF'!$AM$10+'TUSD CVA'!$AM$10)*1*(1-0.02)</f>
        <v>36.967413069659798</v>
      </c>
      <c r="Z22" s="58"/>
      <c r="AA22" s="58"/>
      <c r="AB22" s="58">
        <f>(SUBSIDIO!$J$22*SUBSIDIO!$V$22)*(0.04)/(1-0.04)</f>
        <v>234.46399999999994</v>
      </c>
      <c r="AC22" s="58">
        <f>((SUBSIDIO!$L$22*SUBSIDIO!$W$22)+(SUBSIDIO!$N$22*SUBSIDIO!$X$22))*(0.04)/(1-0.04)</f>
        <v>0</v>
      </c>
      <c r="AD22" s="58">
        <f ca="1">(SUBSIDIO!$J$22*SUBSIDIO!$Y$22)*(0.02)/(1-0.02)</f>
        <v>128.25429024167687</v>
      </c>
      <c r="AE22" s="58">
        <f>((SUBSIDIO!$L$22*SUBSIDIO!$Z$22)+(SUBSIDIO!$N$22*SUBSIDIO!$AA$22))*(0.02)/(1-0.02)</f>
        <v>0</v>
      </c>
      <c r="AF22" s="3" t="s">
        <v>647</v>
      </c>
    </row>
    <row r="23" spans="1:32" ht="11.25" customHeight="1" x14ac:dyDescent="0.25">
      <c r="A23" s="3" t="s">
        <v>21</v>
      </c>
      <c r="B23" s="3" t="s">
        <v>35</v>
      </c>
      <c r="C23" s="3" t="s">
        <v>39</v>
      </c>
      <c r="D23" s="3" t="s">
        <v>44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170</v>
      </c>
      <c r="K23" s="58">
        <v>170</v>
      </c>
      <c r="L23" s="4">
        <v>0</v>
      </c>
      <c r="M23" s="58">
        <v>0</v>
      </c>
      <c r="N23" s="4">
        <v>0</v>
      </c>
      <c r="O23" s="58">
        <v>0</v>
      </c>
      <c r="P23" s="4">
        <v>1</v>
      </c>
      <c r="Q23" s="3" t="s">
        <v>26</v>
      </c>
      <c r="R23" s="3">
        <v>0</v>
      </c>
      <c r="S23" s="3">
        <v>46</v>
      </c>
      <c r="T23" s="3">
        <v>0</v>
      </c>
      <c r="U23" s="3">
        <v>0</v>
      </c>
      <c r="V23" s="58">
        <f>IF(ISERROR(VLOOKUP($S$23,'TAR FIN'!$A$1:$O$88,15,0)),0,VLOOKUP($S$23,'TAR FIN'!$A$1:$O$88,15,0))*(1-0.04)</f>
        <v>33.100799999999992</v>
      </c>
      <c r="W23" s="58">
        <f>IF(ISERROR(VLOOKUP($T$23,'TAR FIN'!$A$1:$O$88,15,0)),0,VLOOKUP($T$23,'TAR FIN'!$A$1:$O$88,15,0))</f>
        <v>0</v>
      </c>
      <c r="X23" s="58">
        <f>IF(ISERROR(VLOOKUP($U$23,'TAR FIN'!$A$1:$O$88,15,0)),0,VLOOKUP($U$23,'TAR FIN'!$A$1:$O$88,15,0))</f>
        <v>0</v>
      </c>
      <c r="Y23" s="58">
        <f ca="1">('TUSD BE'!$AM$10+'TUSD BF'!$AM$10+'TUSD CVA'!$AM$10)*1*(1-0.02)</f>
        <v>36.967413069659798</v>
      </c>
      <c r="Z23" s="58"/>
      <c r="AA23" s="58"/>
      <c r="AB23" s="58">
        <f>(SUBSIDIO!$J$23*SUBSIDIO!$V$23)*(0.04)/(1-0.04)</f>
        <v>234.46399999999994</v>
      </c>
      <c r="AC23" s="58">
        <f>((SUBSIDIO!$L$23*SUBSIDIO!$W$23)+(SUBSIDIO!$N$23*SUBSIDIO!$X$23))*(0.04)/(1-0.04)</f>
        <v>0</v>
      </c>
      <c r="AD23" s="58">
        <f ca="1">(SUBSIDIO!$J$23*SUBSIDIO!$Y$23)*(0.02)/(1-0.02)</f>
        <v>128.25429024167687</v>
      </c>
      <c r="AE23" s="58">
        <f>((SUBSIDIO!$L$23*SUBSIDIO!$Z$23)+(SUBSIDIO!$N$23*SUBSIDIO!$AA$23))*(0.02)/(1-0.02)</f>
        <v>0</v>
      </c>
      <c r="AF23" s="3" t="s">
        <v>647</v>
      </c>
    </row>
    <row r="24" spans="1:32" ht="11.25" customHeight="1" x14ac:dyDescent="0.25">
      <c r="A24" s="3" t="s">
        <v>21</v>
      </c>
      <c r="B24" s="3" t="s">
        <v>35</v>
      </c>
      <c r="C24" s="3" t="s">
        <v>39</v>
      </c>
      <c r="D24" s="3" t="s">
        <v>44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170</v>
      </c>
      <c r="K24" s="58">
        <v>170</v>
      </c>
      <c r="L24" s="4">
        <v>0</v>
      </c>
      <c r="M24" s="58">
        <v>0</v>
      </c>
      <c r="N24" s="4">
        <v>0</v>
      </c>
      <c r="O24" s="58">
        <v>0</v>
      </c>
      <c r="P24" s="4">
        <v>1</v>
      </c>
      <c r="Q24" s="3" t="s">
        <v>26</v>
      </c>
      <c r="R24" s="3">
        <v>0</v>
      </c>
      <c r="S24" s="3">
        <v>46</v>
      </c>
      <c r="T24" s="3">
        <v>0</v>
      </c>
      <c r="U24" s="3">
        <v>0</v>
      </c>
      <c r="V24" s="58">
        <f>IF(ISERROR(VLOOKUP($S$24,'TAR FIN'!$A$1:$O$88,15,0)),0,VLOOKUP($S$24,'TAR FIN'!$A$1:$O$88,15,0))*(1-0.04)</f>
        <v>33.100799999999992</v>
      </c>
      <c r="W24" s="58">
        <f>IF(ISERROR(VLOOKUP($T$24,'TAR FIN'!$A$1:$O$88,15,0)),0,VLOOKUP($T$24,'TAR FIN'!$A$1:$O$88,15,0))</f>
        <v>0</v>
      </c>
      <c r="X24" s="58">
        <f>IF(ISERROR(VLOOKUP($U$24,'TAR FIN'!$A$1:$O$88,15,0)),0,VLOOKUP($U$24,'TAR FIN'!$A$1:$O$88,15,0))</f>
        <v>0</v>
      </c>
      <c r="Y24" s="58">
        <f ca="1">('TUSD BE'!$AM$10+'TUSD BF'!$AM$10+'TUSD CVA'!$AM$10)*1*(1-0.02)</f>
        <v>36.967413069659798</v>
      </c>
      <c r="Z24" s="58"/>
      <c r="AA24" s="58"/>
      <c r="AB24" s="58">
        <f>(SUBSIDIO!$J$24*SUBSIDIO!$V$24)*(0.04)/(1-0.04)</f>
        <v>234.46399999999994</v>
      </c>
      <c r="AC24" s="58">
        <f>((SUBSIDIO!$L$24*SUBSIDIO!$W$24)+(SUBSIDIO!$N$24*SUBSIDIO!$X$24))*(0.04)/(1-0.04)</f>
        <v>0</v>
      </c>
      <c r="AD24" s="58">
        <f ca="1">(SUBSIDIO!$J$24*SUBSIDIO!$Y$24)*(0.02)/(1-0.02)</f>
        <v>128.25429024167687</v>
      </c>
      <c r="AE24" s="58">
        <f>((SUBSIDIO!$L$24*SUBSIDIO!$Z$24)+(SUBSIDIO!$N$24*SUBSIDIO!$AA$24))*(0.02)/(1-0.02)</f>
        <v>0</v>
      </c>
      <c r="AF24" s="3" t="s">
        <v>647</v>
      </c>
    </row>
    <row r="25" spans="1:32" ht="11.25" customHeight="1" x14ac:dyDescent="0.25">
      <c r="A25" s="3" t="s">
        <v>55</v>
      </c>
      <c r="B25" s="3" t="s">
        <v>35</v>
      </c>
      <c r="C25" s="3" t="s">
        <v>39</v>
      </c>
      <c r="D25" s="3" t="s">
        <v>44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170</v>
      </c>
      <c r="K25" s="58">
        <v>170</v>
      </c>
      <c r="L25" s="4">
        <v>0</v>
      </c>
      <c r="M25" s="58">
        <v>0</v>
      </c>
      <c r="N25" s="4">
        <v>0</v>
      </c>
      <c r="O25" s="58">
        <v>0</v>
      </c>
      <c r="P25" s="4">
        <v>1</v>
      </c>
      <c r="Q25" s="3" t="s">
        <v>26</v>
      </c>
      <c r="R25" s="3">
        <v>0</v>
      </c>
      <c r="S25" s="3">
        <v>46</v>
      </c>
      <c r="T25" s="3">
        <v>0</v>
      </c>
      <c r="U25" s="3">
        <v>0</v>
      </c>
      <c r="V25" s="58">
        <f>IF(ISERROR(VLOOKUP($S$25,'TAR FIN'!$A$1:$O$88,15,0)),0,VLOOKUP($S$25,'TAR FIN'!$A$1:$O$88,15,0))*(1-0.04)</f>
        <v>33.100799999999992</v>
      </c>
      <c r="W25" s="58">
        <f>IF(ISERROR(VLOOKUP($T$25,'TAR FIN'!$A$1:$O$88,15,0)),0,VLOOKUP($T$25,'TAR FIN'!$A$1:$O$88,15,0))</f>
        <v>0</v>
      </c>
      <c r="X25" s="58">
        <f>IF(ISERROR(VLOOKUP($U$25,'TAR FIN'!$A$1:$O$88,15,0)),0,VLOOKUP($U$25,'TAR FIN'!$A$1:$O$88,15,0))</f>
        <v>0</v>
      </c>
      <c r="Y25" s="58">
        <f ca="1">('TUSD BE'!$AM$10+'TUSD BF'!$AM$10+'TUSD CVA'!$AM$10)*1*(1-0.02)</f>
        <v>36.967413069659798</v>
      </c>
      <c r="Z25" s="58"/>
      <c r="AA25" s="58"/>
      <c r="AB25" s="58">
        <f>(SUBSIDIO!$J$25*SUBSIDIO!$V$25)*(0.04)/(1-0.04)</f>
        <v>234.46399999999994</v>
      </c>
      <c r="AC25" s="58">
        <f>((SUBSIDIO!$L$25*SUBSIDIO!$W$25)+(SUBSIDIO!$N$25*SUBSIDIO!$X$25))*(0.04)/(1-0.04)</f>
        <v>0</v>
      </c>
      <c r="AD25" s="58">
        <f ca="1">(SUBSIDIO!$J$25*SUBSIDIO!$Y$25)*(0.02)/(1-0.02)</f>
        <v>128.25429024167687</v>
      </c>
      <c r="AE25" s="58">
        <f>((SUBSIDIO!$L$25*SUBSIDIO!$Z$25)+(SUBSIDIO!$N$25*SUBSIDIO!$AA$25))*(0.02)/(1-0.02)</f>
        <v>0</v>
      </c>
      <c r="AF25" s="3" t="s">
        <v>647</v>
      </c>
    </row>
    <row r="26" spans="1:32" ht="11.25" customHeight="1" x14ac:dyDescent="0.25">
      <c r="A26" s="3" t="s">
        <v>21</v>
      </c>
      <c r="B26" s="3" t="s">
        <v>35</v>
      </c>
      <c r="C26" s="3" t="s">
        <v>39</v>
      </c>
      <c r="D26" s="3" t="s">
        <v>44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58">
        <v>0</v>
      </c>
      <c r="L26" s="4">
        <v>0.28299999999999997</v>
      </c>
      <c r="M26" s="58">
        <v>0.28299999999999997</v>
      </c>
      <c r="N26" s="4">
        <v>0.28299999999999997</v>
      </c>
      <c r="O26" s="58">
        <v>0.28299999999999997</v>
      </c>
      <c r="P26" s="4">
        <v>0</v>
      </c>
      <c r="Q26" s="3" t="s">
        <v>26</v>
      </c>
      <c r="R26" s="3">
        <v>0</v>
      </c>
      <c r="S26" s="3">
        <v>0</v>
      </c>
      <c r="T26" s="3">
        <v>35</v>
      </c>
      <c r="U26" s="3">
        <v>70</v>
      </c>
      <c r="V26" s="58">
        <f>IF(ISERROR(VLOOKUP($S$26,'TAR FIN'!$A$1:$O$88,15,0)),0,VLOOKUP($S$26,'TAR FIN'!$A$1:$O$88,15,0))</f>
        <v>0</v>
      </c>
      <c r="W26" s="58">
        <f>IF(ISERROR(VLOOKUP($T$26,'TAR FIN'!$A$1:$O$88,15,0)),0,VLOOKUP($T$26,'TAR FIN'!$A$1:$O$88,15,0))*(1-0.04)</f>
        <v>2569.1135999999997</v>
      </c>
      <c r="X26" s="58">
        <f>IF(ISERROR(VLOOKUP($U$26,'TAR FIN'!$A$1:$O$88,15,0)),0,VLOOKUP($U$26,'TAR FIN'!$A$1:$O$88,15,0))*(1-0.04)</f>
        <v>144.24959999999999</v>
      </c>
      <c r="Y26" s="58"/>
      <c r="Z26" s="58">
        <f ca="1">('TUSD BE'!$AM$11+'TUSD BF'!$AM$11+'TUSD CVA'!$AM$11)*1*(1-0.02)</f>
        <v>2574.1459307941409</v>
      </c>
      <c r="AA26" s="58">
        <f>('TE BE'!$AB$5+'TE BF'!$AB$5+'TE CVA'!$AB$5)*1*(1-0.02)</f>
        <v>133.89020396648343</v>
      </c>
      <c r="AB26" s="58">
        <f>(SUBSIDIO!$J$26*SUBSIDIO!$V$26)*(0.04)/(1-0.04)</f>
        <v>0</v>
      </c>
      <c r="AC26" s="58">
        <f>((SUBSIDIO!$L$26*SUBSIDIO!$W$26)+(SUBSIDIO!$N$26*SUBSIDIO!$X$26))*(0.04)/(1-0.04)</f>
        <v>31.995074399999993</v>
      </c>
      <c r="AD26" s="58">
        <f>(SUBSIDIO!$J$26*SUBSIDIO!$Y$26)*(0.02)/(1-0.02)</f>
        <v>0</v>
      </c>
      <c r="AE26" s="58">
        <f ca="1">((SUBSIDIO!$L$26*SUBSIDIO!$Z$26)+(SUBSIDIO!$N$26*SUBSIDIO!$AA$26))*(0.02)/(1-0.02)</f>
        <v>15.640290329331767</v>
      </c>
      <c r="AF26" s="3" t="s">
        <v>647</v>
      </c>
    </row>
    <row r="27" spans="1:32" ht="11.25" customHeight="1" x14ac:dyDescent="0.25">
      <c r="A27" s="3" t="s">
        <v>21</v>
      </c>
      <c r="B27" s="3" t="s">
        <v>35</v>
      </c>
      <c r="C27" s="3" t="s">
        <v>39</v>
      </c>
      <c r="D27" s="3" t="s">
        <v>44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58">
        <v>0</v>
      </c>
      <c r="L27" s="4">
        <v>0.79800000000000004</v>
      </c>
      <c r="M27" s="58">
        <v>0.79800000000000004</v>
      </c>
      <c r="N27" s="4">
        <v>0.79800000000000004</v>
      </c>
      <c r="O27" s="58">
        <v>0.79800000000000004</v>
      </c>
      <c r="P27" s="4">
        <v>0</v>
      </c>
      <c r="Q27" s="3" t="s">
        <v>26</v>
      </c>
      <c r="R27" s="3">
        <v>0</v>
      </c>
      <c r="S27" s="3">
        <v>0</v>
      </c>
      <c r="T27" s="3">
        <v>35</v>
      </c>
      <c r="U27" s="3">
        <v>70</v>
      </c>
      <c r="V27" s="58">
        <f>IF(ISERROR(VLOOKUP($S$27,'TAR FIN'!$A$1:$O$88,15,0)),0,VLOOKUP($S$27,'TAR FIN'!$A$1:$O$88,15,0))</f>
        <v>0</v>
      </c>
      <c r="W27" s="58">
        <f>IF(ISERROR(VLOOKUP($T$27,'TAR FIN'!$A$1:$O$88,15,0)),0,VLOOKUP($T$27,'TAR FIN'!$A$1:$O$88,15,0))*(1-0.04)</f>
        <v>2569.1135999999997</v>
      </c>
      <c r="X27" s="58">
        <f>IF(ISERROR(VLOOKUP($U$27,'TAR FIN'!$A$1:$O$88,15,0)),0,VLOOKUP($U$27,'TAR FIN'!$A$1:$O$88,15,0))*(1-0.04)</f>
        <v>144.24959999999999</v>
      </c>
      <c r="Y27" s="58"/>
      <c r="Z27" s="58">
        <f ca="1">('TUSD BE'!$AM$11+'TUSD BF'!$AM$11+'TUSD CVA'!$AM$11)*1*(1-0.02)</f>
        <v>2574.1459307941409</v>
      </c>
      <c r="AA27" s="58">
        <f>('TE BE'!$AB$5+'TE BF'!$AB$5+'TE CVA'!$AB$5)*1*(1-0.02)</f>
        <v>133.89020396648343</v>
      </c>
      <c r="AB27" s="58">
        <f>(SUBSIDIO!$J$27*SUBSIDIO!$V$27)*(0.04)/(1-0.04)</f>
        <v>0</v>
      </c>
      <c r="AC27" s="58">
        <f>((SUBSIDIO!$L$27*SUBSIDIO!$W$27)+(SUBSIDIO!$N$27*SUBSIDIO!$X$27))*(0.04)/(1-0.04)</f>
        <v>90.2193264</v>
      </c>
      <c r="AD27" s="58">
        <f>(SUBSIDIO!$J$27*SUBSIDIO!$Y$27)*(0.02)/(1-0.02)</f>
        <v>0</v>
      </c>
      <c r="AE27" s="58">
        <f ca="1">((SUBSIDIO!$L$27*SUBSIDIO!$Z$27)+(SUBSIDIO!$N$27*SUBSIDIO!$AA$27))*(0.02)/(1-0.02)</f>
        <v>44.102302766101602</v>
      </c>
      <c r="AF27" s="3" t="s">
        <v>647</v>
      </c>
    </row>
    <row r="28" spans="1:32" ht="11.25" customHeight="1" x14ac:dyDescent="0.25">
      <c r="A28" s="3" t="s">
        <v>21</v>
      </c>
      <c r="B28" s="3" t="s">
        <v>35</v>
      </c>
      <c r="C28" s="3" t="s">
        <v>39</v>
      </c>
      <c r="D28" s="3" t="s">
        <v>44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58">
        <v>0</v>
      </c>
      <c r="L28" s="4">
        <v>0.65900000000000003</v>
      </c>
      <c r="M28" s="58">
        <v>0.65900000000000003</v>
      </c>
      <c r="N28" s="4">
        <v>0.65900000000000003</v>
      </c>
      <c r="O28" s="58">
        <v>0.65900000000000003</v>
      </c>
      <c r="P28" s="4">
        <v>0</v>
      </c>
      <c r="Q28" s="3" t="s">
        <v>26</v>
      </c>
      <c r="R28" s="3">
        <v>0</v>
      </c>
      <c r="S28" s="3">
        <v>0</v>
      </c>
      <c r="T28" s="3">
        <v>35</v>
      </c>
      <c r="U28" s="3">
        <v>70</v>
      </c>
      <c r="V28" s="58">
        <f>IF(ISERROR(VLOOKUP($S$28,'TAR FIN'!$A$1:$O$88,15,0)),0,VLOOKUP($S$28,'TAR FIN'!$A$1:$O$88,15,0))</f>
        <v>0</v>
      </c>
      <c r="W28" s="58">
        <f>IF(ISERROR(VLOOKUP($T$28,'TAR FIN'!$A$1:$O$88,15,0)),0,VLOOKUP($T$28,'TAR FIN'!$A$1:$O$88,15,0))*(1-0.04)</f>
        <v>2569.1135999999997</v>
      </c>
      <c r="X28" s="58">
        <f>IF(ISERROR(VLOOKUP($U$28,'TAR FIN'!$A$1:$O$88,15,0)),0,VLOOKUP($U$28,'TAR FIN'!$A$1:$O$88,15,0))*(1-0.04)</f>
        <v>144.24959999999999</v>
      </c>
      <c r="Y28" s="58"/>
      <c r="Z28" s="58">
        <f ca="1">('TUSD BE'!$AM$11+'TUSD BF'!$AM$11+'TUSD CVA'!$AM$11)*1*(1-0.02)</f>
        <v>2574.1459307941409</v>
      </c>
      <c r="AA28" s="58">
        <f>('TE BE'!$AB$5+'TE BF'!$AB$5+'TE CVA'!$AB$5)*1*(1-0.02)</f>
        <v>133.89020396648343</v>
      </c>
      <c r="AB28" s="58">
        <f>(SUBSIDIO!$J$28*SUBSIDIO!$V$28)*(0.04)/(1-0.04)</f>
        <v>0</v>
      </c>
      <c r="AC28" s="58">
        <f>((SUBSIDIO!$L$28*SUBSIDIO!$W$28)+(SUBSIDIO!$N$28*SUBSIDIO!$X$28))*(0.04)/(1-0.04)</f>
        <v>74.504431199999999</v>
      </c>
      <c r="AD28" s="58">
        <f>(SUBSIDIO!$J$28*SUBSIDIO!$Y$28)*(0.02)/(1-0.02)</f>
        <v>0</v>
      </c>
      <c r="AE28" s="58">
        <f ca="1">((SUBSIDIO!$L$28*SUBSIDIO!$Z$28)+(SUBSIDIO!$N$28*SUBSIDIO!$AA$28))*(0.02)/(1-0.02)</f>
        <v>36.420322710352067</v>
      </c>
      <c r="AF28" s="3" t="s">
        <v>647</v>
      </c>
    </row>
    <row r="29" spans="1:32" ht="11.25" customHeight="1" x14ac:dyDescent="0.25">
      <c r="A29" s="3" t="s">
        <v>21</v>
      </c>
      <c r="B29" s="3" t="s">
        <v>35</v>
      </c>
      <c r="C29" s="3" t="s">
        <v>39</v>
      </c>
      <c r="D29" s="3" t="s">
        <v>44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58">
        <v>0</v>
      </c>
      <c r="L29" s="4">
        <v>1.33</v>
      </c>
      <c r="M29" s="58">
        <v>1.33</v>
      </c>
      <c r="N29" s="4">
        <v>1.33</v>
      </c>
      <c r="O29" s="58">
        <v>1.33</v>
      </c>
      <c r="P29" s="4">
        <v>0</v>
      </c>
      <c r="Q29" s="3" t="s">
        <v>26</v>
      </c>
      <c r="R29" s="3">
        <v>0</v>
      </c>
      <c r="S29" s="3">
        <v>0</v>
      </c>
      <c r="T29" s="3">
        <v>35</v>
      </c>
      <c r="U29" s="3">
        <v>70</v>
      </c>
      <c r="V29" s="58">
        <f>IF(ISERROR(VLOOKUP($S$29,'TAR FIN'!$A$1:$O$88,15,0)),0,VLOOKUP($S$29,'TAR FIN'!$A$1:$O$88,15,0))</f>
        <v>0</v>
      </c>
      <c r="W29" s="58">
        <f>IF(ISERROR(VLOOKUP($T$29,'TAR FIN'!$A$1:$O$88,15,0)),0,VLOOKUP($T$29,'TAR FIN'!$A$1:$O$88,15,0))*(1-0.04)</f>
        <v>2569.1135999999997</v>
      </c>
      <c r="X29" s="58">
        <f>IF(ISERROR(VLOOKUP($U$29,'TAR FIN'!$A$1:$O$88,15,0)),0,VLOOKUP($U$29,'TAR FIN'!$A$1:$O$88,15,0))*(1-0.04)</f>
        <v>144.24959999999999</v>
      </c>
      <c r="Y29" s="58"/>
      <c r="Z29" s="58">
        <f ca="1">('TUSD BE'!$AM$11+'TUSD BF'!$AM$11+'TUSD CVA'!$AM$11)*1*(1-0.02)</f>
        <v>2574.1459307941409</v>
      </c>
      <c r="AA29" s="58">
        <f>('TE BE'!$AB$5+'TE BF'!$AB$5+'TE CVA'!$AB$5)*1*(1-0.02)</f>
        <v>133.89020396648343</v>
      </c>
      <c r="AB29" s="58">
        <f>(SUBSIDIO!$J$29*SUBSIDIO!$V$29)*(0.04)/(1-0.04)</f>
        <v>0</v>
      </c>
      <c r="AC29" s="58">
        <f>((SUBSIDIO!$L$29*SUBSIDIO!$W$29)+(SUBSIDIO!$N$29*SUBSIDIO!$X$29))*(0.04)/(1-0.04)</f>
        <v>150.365544</v>
      </c>
      <c r="AD29" s="58">
        <f>(SUBSIDIO!$J$29*SUBSIDIO!$Y$29)*(0.02)/(1-0.02)</f>
        <v>0</v>
      </c>
      <c r="AE29" s="58">
        <f ca="1">((SUBSIDIO!$L$29*SUBSIDIO!$Z$29)+(SUBSIDIO!$N$29*SUBSIDIO!$AA$29))*(0.02)/(1-0.02)</f>
        <v>73.50383794350266</v>
      </c>
      <c r="AF29" s="3" t="s">
        <v>647</v>
      </c>
    </row>
    <row r="30" spans="1:32" ht="11.25" customHeight="1" x14ac:dyDescent="0.25">
      <c r="A30" s="3" t="s">
        <v>21</v>
      </c>
      <c r="B30" s="3" t="s">
        <v>35</v>
      </c>
      <c r="C30" s="3" t="s">
        <v>39</v>
      </c>
      <c r="D30" s="3" t="s">
        <v>44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58">
        <v>0</v>
      </c>
      <c r="L30" s="4">
        <v>1.4119999999999999</v>
      </c>
      <c r="M30" s="58">
        <v>1.4119999999999999</v>
      </c>
      <c r="N30" s="4">
        <v>1.4119999999999999</v>
      </c>
      <c r="O30" s="58">
        <v>1.4119999999999999</v>
      </c>
      <c r="P30" s="4">
        <v>0</v>
      </c>
      <c r="Q30" s="3" t="s">
        <v>26</v>
      </c>
      <c r="R30" s="3">
        <v>0</v>
      </c>
      <c r="S30" s="3">
        <v>0</v>
      </c>
      <c r="T30" s="3">
        <v>35</v>
      </c>
      <c r="U30" s="3">
        <v>70</v>
      </c>
      <c r="V30" s="58">
        <f>IF(ISERROR(VLOOKUP($S$30,'TAR FIN'!$A$1:$O$88,15,0)),0,VLOOKUP($S$30,'TAR FIN'!$A$1:$O$88,15,0))</f>
        <v>0</v>
      </c>
      <c r="W30" s="58">
        <f>IF(ISERROR(VLOOKUP($T$30,'TAR FIN'!$A$1:$O$88,15,0)),0,VLOOKUP($T$30,'TAR FIN'!$A$1:$O$88,15,0))*(1-0.04)</f>
        <v>2569.1135999999997</v>
      </c>
      <c r="X30" s="58">
        <f>IF(ISERROR(VLOOKUP($U$30,'TAR FIN'!$A$1:$O$88,15,0)),0,VLOOKUP($U$30,'TAR FIN'!$A$1:$O$88,15,0))*(1-0.04)</f>
        <v>144.24959999999999</v>
      </c>
      <c r="Y30" s="58"/>
      <c r="Z30" s="58">
        <f ca="1">('TUSD BE'!$AM$11+'TUSD BF'!$AM$11+'TUSD CVA'!$AM$11)*1*(1-0.02)</f>
        <v>2574.1459307941409</v>
      </c>
      <c r="AA30" s="58">
        <f>('TE BE'!$AB$5+'TE BF'!$AB$5+'TE CVA'!$AB$5)*1*(1-0.02)</f>
        <v>133.89020396648343</v>
      </c>
      <c r="AB30" s="58">
        <f>(SUBSIDIO!$J$30*SUBSIDIO!$V$30)*(0.04)/(1-0.04)</f>
        <v>0</v>
      </c>
      <c r="AC30" s="58">
        <f>((SUBSIDIO!$L$30*SUBSIDIO!$W$30)+(SUBSIDIO!$N$30*SUBSIDIO!$X$30))*(0.04)/(1-0.04)</f>
        <v>159.63620159999999</v>
      </c>
      <c r="AD30" s="58">
        <f>(SUBSIDIO!$J$30*SUBSIDIO!$Y$30)*(0.02)/(1-0.02)</f>
        <v>0</v>
      </c>
      <c r="AE30" s="58">
        <f ca="1">((SUBSIDIO!$L$30*SUBSIDIO!$Z$30)+(SUBSIDIO!$N$30*SUBSIDIO!$AA$30))*(0.02)/(1-0.02)</f>
        <v>78.035653515959211</v>
      </c>
      <c r="AF30" s="3" t="s">
        <v>647</v>
      </c>
    </row>
    <row r="31" spans="1:32" ht="11.25" customHeight="1" x14ac:dyDescent="0.25">
      <c r="A31" s="3" t="s">
        <v>21</v>
      </c>
      <c r="B31" s="3" t="s">
        <v>35</v>
      </c>
      <c r="C31" s="3" t="s">
        <v>39</v>
      </c>
      <c r="D31" s="3" t="s">
        <v>44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58">
        <v>0</v>
      </c>
      <c r="L31" s="4">
        <v>0.27</v>
      </c>
      <c r="M31" s="58">
        <v>0.27</v>
      </c>
      <c r="N31" s="4">
        <v>0.27</v>
      </c>
      <c r="O31" s="58">
        <v>0.27</v>
      </c>
      <c r="P31" s="4">
        <v>0</v>
      </c>
      <c r="Q31" s="3" t="s">
        <v>26</v>
      </c>
      <c r="R31" s="3">
        <v>0</v>
      </c>
      <c r="S31" s="3">
        <v>0</v>
      </c>
      <c r="T31" s="3">
        <v>35</v>
      </c>
      <c r="U31" s="3">
        <v>70</v>
      </c>
      <c r="V31" s="58">
        <f>IF(ISERROR(VLOOKUP($S$31,'TAR FIN'!$A$1:$O$88,15,0)),0,VLOOKUP($S$31,'TAR FIN'!$A$1:$O$88,15,0))</f>
        <v>0</v>
      </c>
      <c r="W31" s="58">
        <f>IF(ISERROR(VLOOKUP($T$31,'TAR FIN'!$A$1:$O$88,15,0)),0,VLOOKUP($T$31,'TAR FIN'!$A$1:$O$88,15,0))*(1-0.04)</f>
        <v>2569.1135999999997</v>
      </c>
      <c r="X31" s="58">
        <f>IF(ISERROR(VLOOKUP($U$31,'TAR FIN'!$A$1:$O$88,15,0)),0,VLOOKUP($U$31,'TAR FIN'!$A$1:$O$88,15,0))*(1-0.04)</f>
        <v>144.24959999999999</v>
      </c>
      <c r="Y31" s="58"/>
      <c r="Z31" s="58">
        <f ca="1">('TUSD BE'!$AM$11+'TUSD BF'!$AM$11+'TUSD CVA'!$AM$11)*1*(1-0.02)</f>
        <v>2574.1459307941409</v>
      </c>
      <c r="AA31" s="58">
        <f>('TE BE'!$AB$5+'TE BF'!$AB$5+'TE CVA'!$AB$5)*1*(1-0.02)</f>
        <v>133.89020396648343</v>
      </c>
      <c r="AB31" s="58">
        <f>(SUBSIDIO!$J$31*SUBSIDIO!$V$31)*(0.04)/(1-0.04)</f>
        <v>0</v>
      </c>
      <c r="AC31" s="58">
        <f>((SUBSIDIO!$L$31*SUBSIDIO!$W$31)+(SUBSIDIO!$N$31*SUBSIDIO!$X$31))*(0.04)/(1-0.04)</f>
        <v>30.525336000000003</v>
      </c>
      <c r="AD31" s="58">
        <f>(SUBSIDIO!$J$31*SUBSIDIO!$Y$31)*(0.02)/(1-0.02)</f>
        <v>0</v>
      </c>
      <c r="AE31" s="58">
        <f ca="1">((SUBSIDIO!$L$31*SUBSIDIO!$Z$31)+(SUBSIDIO!$N$31*SUBSIDIO!$AA$31))*(0.02)/(1-0.02)</f>
        <v>14.921831762966706</v>
      </c>
      <c r="AF31" s="3" t="s">
        <v>647</v>
      </c>
    </row>
    <row r="32" spans="1:32" ht="11.25" customHeight="1" x14ac:dyDescent="0.25">
      <c r="A32" s="3" t="s">
        <v>21</v>
      </c>
      <c r="B32" s="3" t="s">
        <v>35</v>
      </c>
      <c r="C32" s="3" t="s">
        <v>39</v>
      </c>
      <c r="D32" s="3" t="s">
        <v>44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44743</v>
      </c>
      <c r="J32" s="4">
        <v>0</v>
      </c>
      <c r="K32" s="58">
        <v>0</v>
      </c>
      <c r="L32" s="4">
        <v>7.0000000000000001E-3</v>
      </c>
      <c r="M32" s="58">
        <v>7.0000000000000001E-3</v>
      </c>
      <c r="N32" s="4">
        <v>7.0000000000000001E-3</v>
      </c>
      <c r="O32" s="58">
        <v>7.0000000000000001E-3</v>
      </c>
      <c r="P32" s="4">
        <v>0</v>
      </c>
      <c r="Q32" s="3" t="s">
        <v>26</v>
      </c>
      <c r="R32" s="3">
        <v>0</v>
      </c>
      <c r="S32" s="3">
        <v>0</v>
      </c>
      <c r="T32" s="3">
        <v>35</v>
      </c>
      <c r="U32" s="3">
        <v>70</v>
      </c>
      <c r="V32" s="58">
        <f>IF(ISERROR(VLOOKUP($S$32,'TAR FIN'!$A$1:$O$88,15,0)),0,VLOOKUP($S$32,'TAR FIN'!$A$1:$O$88,15,0))</f>
        <v>0</v>
      </c>
      <c r="W32" s="58">
        <f>IF(ISERROR(VLOOKUP($T$32,'TAR FIN'!$A$1:$O$88,15,0)),0,VLOOKUP($T$32,'TAR FIN'!$A$1:$O$88,15,0))*(1-0.04)</f>
        <v>2569.1135999999997</v>
      </c>
      <c r="X32" s="58">
        <f>IF(ISERROR(VLOOKUP($U$32,'TAR FIN'!$A$1:$O$88,15,0)),0,VLOOKUP($U$32,'TAR FIN'!$A$1:$O$88,15,0))*(1-0.04)</f>
        <v>144.24959999999999</v>
      </c>
      <c r="Y32" s="58"/>
      <c r="Z32" s="58">
        <f ca="1">('TUSD BE'!$AM$11+'TUSD BF'!$AM$11+'TUSD CVA'!$AM$11)*1*(1-0.02)</f>
        <v>2574.1459307941409</v>
      </c>
      <c r="AA32" s="58">
        <f>('TE BE'!$AB$5+'TE BF'!$AB$5+'TE CVA'!$AB$5)*1*(1-0.02)</f>
        <v>133.89020396648343</v>
      </c>
      <c r="AB32" s="58">
        <f>(SUBSIDIO!$J$32*SUBSIDIO!$V$32)*(0.04)/(1-0.04)</f>
        <v>0</v>
      </c>
      <c r="AC32" s="58">
        <f>((SUBSIDIO!$L$32*SUBSIDIO!$W$32)+(SUBSIDIO!$N$32*SUBSIDIO!$X$32))*(0.04)/(1-0.04)</f>
        <v>0.79139760000000003</v>
      </c>
      <c r="AD32" s="58">
        <f>(SUBSIDIO!$J$32*SUBSIDIO!$Y$32)*(0.02)/(1-0.02)</f>
        <v>0</v>
      </c>
      <c r="AE32" s="58">
        <f ca="1">((SUBSIDIO!$L$32*SUBSIDIO!$Z$32)+(SUBSIDIO!$N$32*SUBSIDIO!$AA$32))*(0.02)/(1-0.02)</f>
        <v>0.38686230496580348</v>
      </c>
      <c r="AF32" s="3" t="s">
        <v>647</v>
      </c>
    </row>
    <row r="33" spans="1:32" ht="11.25" customHeight="1" x14ac:dyDescent="0.25">
      <c r="A33" s="3" t="s">
        <v>55</v>
      </c>
      <c r="B33" s="3" t="s">
        <v>35</v>
      </c>
      <c r="C33" s="3" t="s">
        <v>39</v>
      </c>
      <c r="D33" s="3" t="s">
        <v>44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44774</v>
      </c>
      <c r="J33" s="4">
        <v>0</v>
      </c>
      <c r="K33" s="58">
        <v>0</v>
      </c>
      <c r="L33" s="4">
        <v>7.0000000000000001E-3</v>
      </c>
      <c r="M33" s="58">
        <v>7.0000000000000001E-3</v>
      </c>
      <c r="N33" s="4">
        <v>7.0000000000000001E-3</v>
      </c>
      <c r="O33" s="58">
        <v>7.0000000000000001E-3</v>
      </c>
      <c r="P33" s="4">
        <v>0</v>
      </c>
      <c r="Q33" s="3" t="s">
        <v>26</v>
      </c>
      <c r="R33" s="3">
        <v>0</v>
      </c>
      <c r="S33" s="3">
        <v>0</v>
      </c>
      <c r="T33" s="3">
        <v>35</v>
      </c>
      <c r="U33" s="3">
        <v>70</v>
      </c>
      <c r="V33" s="58">
        <f>IF(ISERROR(VLOOKUP($S$33,'TAR FIN'!$A$1:$O$88,15,0)),0,VLOOKUP($S$33,'TAR FIN'!$A$1:$O$88,15,0))</f>
        <v>0</v>
      </c>
      <c r="W33" s="58">
        <f>IF(ISERROR(VLOOKUP($T$33,'TAR FIN'!$A$1:$O$88,15,0)),0,VLOOKUP($T$33,'TAR FIN'!$A$1:$O$88,15,0))*(1-0.04)</f>
        <v>2569.1135999999997</v>
      </c>
      <c r="X33" s="58">
        <f>IF(ISERROR(VLOOKUP($U$33,'TAR FIN'!$A$1:$O$88,15,0)),0,VLOOKUP($U$33,'TAR FIN'!$A$1:$O$88,15,0))*(1-0.04)</f>
        <v>144.24959999999999</v>
      </c>
      <c r="Y33" s="58"/>
      <c r="Z33" s="58">
        <f ca="1">('TUSD BE'!$AM$11+'TUSD BF'!$AM$11+'TUSD CVA'!$AM$11)*1*(1-0.02)</f>
        <v>2574.1459307941409</v>
      </c>
      <c r="AA33" s="58">
        <f>('TE BE'!$AB$5+'TE BF'!$AB$5+'TE CVA'!$AB$5)*1*(1-0.02)</f>
        <v>133.89020396648343</v>
      </c>
      <c r="AB33" s="58">
        <f>(SUBSIDIO!$J$33*SUBSIDIO!$V$33)*(0.04)/(1-0.04)</f>
        <v>0</v>
      </c>
      <c r="AC33" s="58">
        <f>((SUBSIDIO!$L$33*SUBSIDIO!$W$33)+(SUBSIDIO!$N$33*SUBSIDIO!$X$33))*(0.04)/(1-0.04)</f>
        <v>0.79139760000000003</v>
      </c>
      <c r="AD33" s="58">
        <f>(SUBSIDIO!$J$33*SUBSIDIO!$Y$33)*(0.02)/(1-0.02)</f>
        <v>0</v>
      </c>
      <c r="AE33" s="58">
        <f ca="1">((SUBSIDIO!$L$33*SUBSIDIO!$Z$33)+(SUBSIDIO!$N$33*SUBSIDIO!$AA$33))*(0.02)/(1-0.02)</f>
        <v>0.38686230496580348</v>
      </c>
      <c r="AF33" s="3" t="s">
        <v>647</v>
      </c>
    </row>
    <row r="34" spans="1:32" ht="11.25" customHeight="1" x14ac:dyDescent="0.25">
      <c r="A34" s="3" t="s">
        <v>21</v>
      </c>
      <c r="B34" s="3" t="s">
        <v>35</v>
      </c>
      <c r="C34" s="3" t="s">
        <v>39</v>
      </c>
      <c r="D34" s="3" t="s">
        <v>49</v>
      </c>
      <c r="E34" s="3" t="s">
        <v>50</v>
      </c>
      <c r="F34" s="3" t="s">
        <v>25</v>
      </c>
      <c r="G34" s="3" t="s">
        <v>25</v>
      </c>
      <c r="H34" s="3" t="s">
        <v>38</v>
      </c>
      <c r="I34" s="6">
        <v>44501</v>
      </c>
      <c r="J34" s="4">
        <v>0</v>
      </c>
      <c r="K34" s="58">
        <v>0</v>
      </c>
      <c r="L34" s="4">
        <v>3.375</v>
      </c>
      <c r="M34" s="58">
        <v>3.375</v>
      </c>
      <c r="N34" s="4">
        <v>3.375</v>
      </c>
      <c r="O34" s="58">
        <v>3.375</v>
      </c>
      <c r="P34" s="4">
        <v>0</v>
      </c>
      <c r="Q34" s="3" t="s">
        <v>26</v>
      </c>
      <c r="R34" s="3">
        <v>0</v>
      </c>
      <c r="S34" s="3">
        <v>0</v>
      </c>
      <c r="T34" s="3">
        <v>50</v>
      </c>
      <c r="U34" s="3">
        <v>61</v>
      </c>
      <c r="V34" s="58">
        <f>IF(ISERROR(VLOOKUP($S$34,'TAR FIN'!$A$1:$O$88,15,0)),0,VLOOKUP($S$34,'TAR FIN'!$A$1:$O$88,15,0))</f>
        <v>0</v>
      </c>
      <c r="W34" s="58">
        <f>IF(ISERROR(VLOOKUP($T$34,'TAR FIN'!$A$1:$O$88,15,0)),0,VLOOKUP($T$34,'TAR FIN'!$A$1:$O$88,15,0))*(1-0.06)</f>
        <v>56.757199999999997</v>
      </c>
      <c r="X34" s="58">
        <f>IF(ISERROR(VLOOKUP($U$34,'TAR FIN'!$A$1:$O$88,15,0)),0,VLOOKUP($U$34,'TAR FIN'!$A$1:$O$88,15,0))*(1-0.06)</f>
        <v>141.24439999999998</v>
      </c>
      <c r="Y34" s="58"/>
      <c r="Z34" s="58">
        <f ca="1">('TUSD BE'!$AM$12+'TUSD BF'!$AM$12+'TUSD CVA'!$AM$12)*1*(1-0.03)</f>
        <v>91.682163922213206</v>
      </c>
      <c r="AA34" s="58">
        <f>('TE BE'!$AB$6+'TE BF'!$AB$6+'TE CVA'!$AB$6)*1*(1-0.03)</f>
        <v>132.52397739539686</v>
      </c>
      <c r="AB34" s="58">
        <f>(SUBSIDIO!$J$34*SUBSIDIO!$V$34)*(0.06)/(1-0.06)</f>
        <v>0</v>
      </c>
      <c r="AC34" s="58">
        <f>((SUBSIDIO!$L$34*SUBSIDIO!$W$34)+(SUBSIDIO!$N$34*SUBSIDIO!$X$34))*(0.06)/(1-0.06)</f>
        <v>42.654600000000002</v>
      </c>
      <c r="AD34" s="58">
        <f>(SUBSIDIO!$J$34*SUBSIDIO!$Y$34)*(0.03)/(1-0.03)</f>
        <v>0</v>
      </c>
      <c r="AE34" s="58">
        <f ca="1">((SUBSIDIO!$L$34*SUBSIDIO!$Z$34)+(SUBSIDIO!$N$34*SUBSIDIO!$AA$34))*(0.03)/(1-0.03)</f>
        <v>23.402960627224761</v>
      </c>
      <c r="AF34" s="3" t="s">
        <v>648</v>
      </c>
    </row>
    <row r="35" spans="1:32" ht="11.25" customHeight="1" x14ac:dyDescent="0.25">
      <c r="A35" s="3" t="s">
        <v>21</v>
      </c>
      <c r="B35" s="3" t="s">
        <v>35</v>
      </c>
      <c r="C35" s="3" t="s">
        <v>39</v>
      </c>
      <c r="D35" s="3" t="s">
        <v>49</v>
      </c>
      <c r="E35" s="3" t="s">
        <v>50</v>
      </c>
      <c r="F35" s="3" t="s">
        <v>25</v>
      </c>
      <c r="G35" s="3" t="s">
        <v>25</v>
      </c>
      <c r="H35" s="3" t="s">
        <v>38</v>
      </c>
      <c r="I35" s="6">
        <v>44531</v>
      </c>
      <c r="J35" s="4">
        <v>0</v>
      </c>
      <c r="K35" s="58">
        <v>0</v>
      </c>
      <c r="L35" s="4">
        <v>2.33</v>
      </c>
      <c r="M35" s="58">
        <v>2.33</v>
      </c>
      <c r="N35" s="4">
        <v>2.33</v>
      </c>
      <c r="O35" s="58">
        <v>2.33</v>
      </c>
      <c r="P35" s="4">
        <v>0</v>
      </c>
      <c r="Q35" s="3" t="s">
        <v>26</v>
      </c>
      <c r="R35" s="3">
        <v>0</v>
      </c>
      <c r="S35" s="3">
        <v>0</v>
      </c>
      <c r="T35" s="3">
        <v>50</v>
      </c>
      <c r="U35" s="3">
        <v>61</v>
      </c>
      <c r="V35" s="58">
        <f>IF(ISERROR(VLOOKUP($S$35,'TAR FIN'!$A$1:$O$88,15,0)),0,VLOOKUP($S$35,'TAR FIN'!$A$1:$O$88,15,0))</f>
        <v>0</v>
      </c>
      <c r="W35" s="58">
        <f>IF(ISERROR(VLOOKUP($T$35,'TAR FIN'!$A$1:$O$88,15,0)),0,VLOOKUP($T$35,'TAR FIN'!$A$1:$O$88,15,0))*(1-0.06)</f>
        <v>56.757199999999997</v>
      </c>
      <c r="X35" s="58">
        <f>IF(ISERROR(VLOOKUP($U$35,'TAR FIN'!$A$1:$O$88,15,0)),0,VLOOKUP($U$35,'TAR FIN'!$A$1:$O$88,15,0))*(1-0.06)</f>
        <v>141.24439999999998</v>
      </c>
      <c r="Y35" s="58"/>
      <c r="Z35" s="58">
        <f ca="1">('TUSD BE'!$AM$12+'TUSD BF'!$AM$12+'TUSD CVA'!$AM$12)*1*(1-0.03)</f>
        <v>91.682163922213206</v>
      </c>
      <c r="AA35" s="58">
        <f>('TE BE'!$AB$6+'TE BF'!$AB$6+'TE CVA'!$AB$6)*1*(1-0.03)</f>
        <v>132.52397739539686</v>
      </c>
      <c r="AB35" s="58">
        <f>(SUBSIDIO!$J$35*SUBSIDIO!$V$35)*(0.06)/(1-0.06)</f>
        <v>0</v>
      </c>
      <c r="AC35" s="58">
        <f>((SUBSIDIO!$L$35*SUBSIDIO!$W$35)+(SUBSIDIO!$N$35*SUBSIDIO!$X$35))*(0.06)/(1-0.06)</f>
        <v>29.447471999999998</v>
      </c>
      <c r="AD35" s="58">
        <f>(SUBSIDIO!$J$35*SUBSIDIO!$Y$35)*(0.03)/(1-0.03)</f>
        <v>0</v>
      </c>
      <c r="AE35" s="58">
        <f ca="1">((SUBSIDIO!$L$35*SUBSIDIO!$Z$35)+(SUBSIDIO!$N$35*SUBSIDIO!$AA$35))*(0.03)/(1-0.03)</f>
        <v>16.156710595980357</v>
      </c>
      <c r="AF35" s="3" t="s">
        <v>648</v>
      </c>
    </row>
    <row r="36" spans="1:32" ht="11.25" customHeight="1" x14ac:dyDescent="0.25">
      <c r="A36" s="3" t="s">
        <v>21</v>
      </c>
      <c r="B36" s="3" t="s">
        <v>35</v>
      </c>
      <c r="C36" s="3" t="s">
        <v>39</v>
      </c>
      <c r="D36" s="3" t="s">
        <v>49</v>
      </c>
      <c r="E36" s="3" t="s">
        <v>50</v>
      </c>
      <c r="F36" s="3" t="s">
        <v>25</v>
      </c>
      <c r="G36" s="3" t="s">
        <v>25</v>
      </c>
      <c r="H36" s="3" t="s">
        <v>38</v>
      </c>
      <c r="I36" s="6">
        <v>44562</v>
      </c>
      <c r="J36" s="4">
        <v>0</v>
      </c>
      <c r="K36" s="58">
        <v>0</v>
      </c>
      <c r="L36" s="4">
        <v>2.5019999999999998</v>
      </c>
      <c r="M36" s="58">
        <v>2.5019999999999998</v>
      </c>
      <c r="N36" s="4">
        <v>2.5019999999999998</v>
      </c>
      <c r="O36" s="58">
        <v>2.5019999999999998</v>
      </c>
      <c r="P36" s="4">
        <v>0</v>
      </c>
      <c r="Q36" s="3" t="s">
        <v>26</v>
      </c>
      <c r="R36" s="3">
        <v>0</v>
      </c>
      <c r="S36" s="3">
        <v>0</v>
      </c>
      <c r="T36" s="3">
        <v>50</v>
      </c>
      <c r="U36" s="3">
        <v>61</v>
      </c>
      <c r="V36" s="58">
        <f>IF(ISERROR(VLOOKUP($S$36,'TAR FIN'!$A$1:$O$88,15,0)),0,VLOOKUP($S$36,'TAR FIN'!$A$1:$O$88,15,0))</f>
        <v>0</v>
      </c>
      <c r="W36" s="58">
        <f>IF(ISERROR(VLOOKUP($T$36,'TAR FIN'!$A$1:$O$88,15,0)),0,VLOOKUP($T$36,'TAR FIN'!$A$1:$O$88,15,0))*(1-0.06)</f>
        <v>56.757199999999997</v>
      </c>
      <c r="X36" s="58">
        <f>IF(ISERROR(VLOOKUP($U$36,'TAR FIN'!$A$1:$O$88,15,0)),0,VLOOKUP($U$36,'TAR FIN'!$A$1:$O$88,15,0))*(1-0.06)</f>
        <v>141.24439999999998</v>
      </c>
      <c r="Y36" s="58"/>
      <c r="Z36" s="58">
        <f ca="1">('TUSD BE'!$AM$12+'TUSD BF'!$AM$12+'TUSD CVA'!$AM$12)*1*(1-0.03)</f>
        <v>91.682163922213206</v>
      </c>
      <c r="AA36" s="58">
        <f>('TE BE'!$AB$6+'TE BF'!$AB$6+'TE CVA'!$AB$6)*1*(1-0.03)</f>
        <v>132.52397739539686</v>
      </c>
      <c r="AB36" s="58">
        <f>(SUBSIDIO!$J$36*SUBSIDIO!$V$36)*(0.06)/(1-0.06)</f>
        <v>0</v>
      </c>
      <c r="AC36" s="58">
        <f>((SUBSIDIO!$L$36*SUBSIDIO!$W$36)+(SUBSIDIO!$N$36*SUBSIDIO!$X$36))*(0.06)/(1-0.06)</f>
        <v>31.621276799999993</v>
      </c>
      <c r="AD36" s="58">
        <f>(SUBSIDIO!$J$36*SUBSIDIO!$Y$36)*(0.03)/(1-0.03)</f>
        <v>0</v>
      </c>
      <c r="AE36" s="58">
        <f ca="1">((SUBSIDIO!$L$36*SUBSIDIO!$Z$36)+(SUBSIDIO!$N$36*SUBSIDIO!$AA$36))*(0.03)/(1-0.03)</f>
        <v>17.349394811649287</v>
      </c>
      <c r="AF36" s="3" t="s">
        <v>648</v>
      </c>
    </row>
    <row r="37" spans="1:32" ht="11.25" customHeight="1" x14ac:dyDescent="0.25">
      <c r="A37" s="3" t="s">
        <v>21</v>
      </c>
      <c r="B37" s="3" t="s">
        <v>35</v>
      </c>
      <c r="C37" s="3" t="s">
        <v>39</v>
      </c>
      <c r="D37" s="3" t="s">
        <v>49</v>
      </c>
      <c r="E37" s="3" t="s">
        <v>50</v>
      </c>
      <c r="F37" s="3" t="s">
        <v>25</v>
      </c>
      <c r="G37" s="3" t="s">
        <v>25</v>
      </c>
      <c r="H37" s="3" t="s">
        <v>38</v>
      </c>
      <c r="I37" s="6">
        <v>44593</v>
      </c>
      <c r="J37" s="4">
        <v>0</v>
      </c>
      <c r="K37" s="58">
        <v>0</v>
      </c>
      <c r="L37" s="4">
        <v>2.4159999999999999</v>
      </c>
      <c r="M37" s="58">
        <v>2.4159999999999999</v>
      </c>
      <c r="N37" s="4">
        <v>2.4159999999999999</v>
      </c>
      <c r="O37" s="58">
        <v>2.4159999999999999</v>
      </c>
      <c r="P37" s="4">
        <v>0</v>
      </c>
      <c r="Q37" s="3" t="s">
        <v>26</v>
      </c>
      <c r="R37" s="3">
        <v>0</v>
      </c>
      <c r="S37" s="3">
        <v>0</v>
      </c>
      <c r="T37" s="3">
        <v>50</v>
      </c>
      <c r="U37" s="3">
        <v>61</v>
      </c>
      <c r="V37" s="58">
        <f>IF(ISERROR(VLOOKUP($S$37,'TAR FIN'!$A$1:$O$88,15,0)),0,VLOOKUP($S$37,'TAR FIN'!$A$1:$O$88,15,0))</f>
        <v>0</v>
      </c>
      <c r="W37" s="58">
        <f>IF(ISERROR(VLOOKUP($T$37,'TAR FIN'!$A$1:$O$88,15,0)),0,VLOOKUP($T$37,'TAR FIN'!$A$1:$O$88,15,0))*(1-0.06)</f>
        <v>56.757199999999997</v>
      </c>
      <c r="X37" s="58">
        <f>IF(ISERROR(VLOOKUP($U$37,'TAR FIN'!$A$1:$O$88,15,0)),0,VLOOKUP($U$37,'TAR FIN'!$A$1:$O$88,15,0))*(1-0.06)</f>
        <v>141.24439999999998</v>
      </c>
      <c r="Y37" s="58"/>
      <c r="Z37" s="58">
        <f ca="1">('TUSD BE'!$AM$12+'TUSD BF'!$AM$12+'TUSD CVA'!$AM$12)*1*(1-0.03)</f>
        <v>91.682163922213206</v>
      </c>
      <c r="AA37" s="58">
        <f>('TE BE'!$AB$6+'TE BF'!$AB$6+'TE CVA'!$AB$6)*1*(1-0.03)</f>
        <v>132.52397739539686</v>
      </c>
      <c r="AB37" s="58">
        <f>(SUBSIDIO!$J$37*SUBSIDIO!$V$37)*(0.06)/(1-0.06)</f>
        <v>0</v>
      </c>
      <c r="AC37" s="58">
        <f>((SUBSIDIO!$L$37*SUBSIDIO!$W$37)+(SUBSIDIO!$N$37*SUBSIDIO!$X$37))*(0.06)/(1-0.06)</f>
        <v>30.534374399999997</v>
      </c>
      <c r="AD37" s="58">
        <f>(SUBSIDIO!$J$37*SUBSIDIO!$Y$37)*(0.03)/(1-0.03)</f>
        <v>0</v>
      </c>
      <c r="AE37" s="58">
        <f ca="1">((SUBSIDIO!$L$37*SUBSIDIO!$Z$37)+(SUBSIDIO!$N$37*SUBSIDIO!$AA$37))*(0.03)/(1-0.03)</f>
        <v>16.75305270381482</v>
      </c>
      <c r="AF37" s="3" t="s">
        <v>648</v>
      </c>
    </row>
    <row r="38" spans="1:32" ht="11.25" customHeight="1" x14ac:dyDescent="0.25">
      <c r="A38" s="3" t="s">
        <v>21</v>
      </c>
      <c r="B38" s="3" t="s">
        <v>35</v>
      </c>
      <c r="C38" s="3" t="s">
        <v>39</v>
      </c>
      <c r="D38" s="3" t="s">
        <v>49</v>
      </c>
      <c r="E38" s="3" t="s">
        <v>50</v>
      </c>
      <c r="F38" s="3" t="s">
        <v>25</v>
      </c>
      <c r="G38" s="3" t="s">
        <v>25</v>
      </c>
      <c r="H38" s="3" t="s">
        <v>38</v>
      </c>
      <c r="I38" s="6">
        <v>44621</v>
      </c>
      <c r="J38" s="4">
        <v>0</v>
      </c>
      <c r="K38" s="58">
        <v>0</v>
      </c>
      <c r="L38" s="4">
        <v>2.2210000000000001</v>
      </c>
      <c r="M38" s="58">
        <v>2.2210000000000001</v>
      </c>
      <c r="N38" s="4">
        <v>2.2210000000000001</v>
      </c>
      <c r="O38" s="58">
        <v>2.2210000000000001</v>
      </c>
      <c r="P38" s="4">
        <v>0</v>
      </c>
      <c r="Q38" s="3" t="s">
        <v>26</v>
      </c>
      <c r="R38" s="3">
        <v>0</v>
      </c>
      <c r="S38" s="3">
        <v>0</v>
      </c>
      <c r="T38" s="3">
        <v>50</v>
      </c>
      <c r="U38" s="3">
        <v>61</v>
      </c>
      <c r="V38" s="58">
        <f>IF(ISERROR(VLOOKUP($S$38,'TAR FIN'!$A$1:$O$88,15,0)),0,VLOOKUP($S$38,'TAR FIN'!$A$1:$O$88,15,0))</f>
        <v>0</v>
      </c>
      <c r="W38" s="58">
        <f>IF(ISERROR(VLOOKUP($T$38,'TAR FIN'!$A$1:$O$88,15,0)),0,VLOOKUP($T$38,'TAR FIN'!$A$1:$O$88,15,0))*(1-0.06)</f>
        <v>56.757199999999997</v>
      </c>
      <c r="X38" s="58">
        <f>IF(ISERROR(VLOOKUP($U$38,'TAR FIN'!$A$1:$O$88,15,0)),0,VLOOKUP($U$38,'TAR FIN'!$A$1:$O$88,15,0))*(1-0.06)</f>
        <v>141.24439999999998</v>
      </c>
      <c r="Y38" s="58"/>
      <c r="Z38" s="58">
        <f ca="1">('TUSD BE'!$AM$12+'TUSD BF'!$AM$12+'TUSD CVA'!$AM$12)*1*(1-0.03)</f>
        <v>91.682163922213206</v>
      </c>
      <c r="AA38" s="58">
        <f>('TE BE'!$AB$6+'TE BF'!$AB$6+'TE CVA'!$AB$6)*1*(1-0.03)</f>
        <v>132.52397739539686</v>
      </c>
      <c r="AB38" s="58">
        <f>(SUBSIDIO!$J$38*SUBSIDIO!$V$38)*(0.06)/(1-0.06)</f>
        <v>0</v>
      </c>
      <c r="AC38" s="58">
        <f>((SUBSIDIO!$L$38*SUBSIDIO!$W$38)+(SUBSIDIO!$N$38*SUBSIDIO!$X$38))*(0.06)/(1-0.06)</f>
        <v>28.069886400000001</v>
      </c>
      <c r="AD38" s="58">
        <f>(SUBSIDIO!$J$38*SUBSIDIO!$Y$38)*(0.03)/(1-0.03)</f>
        <v>0</v>
      </c>
      <c r="AE38" s="58">
        <f ca="1">((SUBSIDIO!$L$38*SUBSIDIO!$Z$38)+(SUBSIDIO!$N$38*SUBSIDIO!$AA$38))*(0.03)/(1-0.03)</f>
        <v>15.400881645352946</v>
      </c>
      <c r="AF38" s="3" t="s">
        <v>648</v>
      </c>
    </row>
    <row r="39" spans="1:32" ht="11.25" customHeight="1" x14ac:dyDescent="0.25">
      <c r="A39" s="3" t="s">
        <v>21</v>
      </c>
      <c r="B39" s="3" t="s">
        <v>35</v>
      </c>
      <c r="C39" s="3" t="s">
        <v>39</v>
      </c>
      <c r="D39" s="3" t="s">
        <v>49</v>
      </c>
      <c r="E39" s="3" t="s">
        <v>50</v>
      </c>
      <c r="F39" s="3" t="s">
        <v>25</v>
      </c>
      <c r="G39" s="3" t="s">
        <v>25</v>
      </c>
      <c r="H39" s="3" t="s">
        <v>38</v>
      </c>
      <c r="I39" s="6">
        <v>44652</v>
      </c>
      <c r="J39" s="4">
        <v>0</v>
      </c>
      <c r="K39" s="58">
        <v>0</v>
      </c>
      <c r="L39" s="4">
        <v>4.6870000000000003</v>
      </c>
      <c r="M39" s="58">
        <v>4.6870000000000003</v>
      </c>
      <c r="N39" s="4">
        <v>4.6870000000000003</v>
      </c>
      <c r="O39" s="58">
        <v>4.6870000000000003</v>
      </c>
      <c r="P39" s="4">
        <v>0</v>
      </c>
      <c r="Q39" s="3" t="s">
        <v>26</v>
      </c>
      <c r="R39" s="3">
        <v>0</v>
      </c>
      <c r="S39" s="3">
        <v>0</v>
      </c>
      <c r="T39" s="3">
        <v>50</v>
      </c>
      <c r="U39" s="3">
        <v>61</v>
      </c>
      <c r="V39" s="58">
        <f>IF(ISERROR(VLOOKUP($S$39,'TAR FIN'!$A$1:$O$88,15,0)),0,VLOOKUP($S$39,'TAR FIN'!$A$1:$O$88,15,0))</f>
        <v>0</v>
      </c>
      <c r="W39" s="58">
        <f>IF(ISERROR(VLOOKUP($T$39,'TAR FIN'!$A$1:$O$88,15,0)),0,VLOOKUP($T$39,'TAR FIN'!$A$1:$O$88,15,0))*(1-0.06)</f>
        <v>56.757199999999997</v>
      </c>
      <c r="X39" s="58">
        <f>IF(ISERROR(VLOOKUP($U$39,'TAR FIN'!$A$1:$O$88,15,0)),0,VLOOKUP($U$39,'TAR FIN'!$A$1:$O$88,15,0))*(1-0.06)</f>
        <v>141.24439999999998</v>
      </c>
      <c r="Y39" s="58"/>
      <c r="Z39" s="58">
        <f ca="1">('TUSD BE'!$AM$12+'TUSD BF'!$AM$12+'TUSD CVA'!$AM$12)*1*(1-0.03)</f>
        <v>91.682163922213206</v>
      </c>
      <c r="AA39" s="58">
        <f>('TE BE'!$AB$6+'TE BF'!$AB$6+'TE CVA'!$AB$6)*1*(1-0.03)</f>
        <v>132.52397739539686</v>
      </c>
      <c r="AB39" s="58">
        <f>(SUBSIDIO!$J$39*SUBSIDIO!$V$39)*(0.06)/(1-0.06)</f>
        <v>0</v>
      </c>
      <c r="AC39" s="58">
        <f>((SUBSIDIO!$L$39*SUBSIDIO!$W$39)+(SUBSIDIO!$N$39*SUBSIDIO!$X$39))*(0.06)/(1-0.06)</f>
        <v>59.236180800000007</v>
      </c>
      <c r="AD39" s="58">
        <f>(SUBSIDIO!$J$39*SUBSIDIO!$Y$39)*(0.03)/(1-0.03)</f>
        <v>0</v>
      </c>
      <c r="AE39" s="58">
        <f ca="1">((SUBSIDIO!$L$39*SUBSIDIO!$Z$39)+(SUBSIDIO!$N$39*SUBSIDIO!$AA$39))*(0.03)/(1-0.03)</f>
        <v>32.500644876978505</v>
      </c>
      <c r="AF39" s="3" t="s">
        <v>648</v>
      </c>
    </row>
    <row r="40" spans="1:32" ht="11.25" customHeight="1" x14ac:dyDescent="0.25">
      <c r="A40" s="3" t="s">
        <v>21</v>
      </c>
      <c r="B40" s="3" t="s">
        <v>35</v>
      </c>
      <c r="C40" s="3" t="s">
        <v>39</v>
      </c>
      <c r="D40" s="3" t="s">
        <v>49</v>
      </c>
      <c r="E40" s="3" t="s">
        <v>50</v>
      </c>
      <c r="F40" s="3" t="s">
        <v>25</v>
      </c>
      <c r="G40" s="3" t="s">
        <v>25</v>
      </c>
      <c r="H40" s="3" t="s">
        <v>38</v>
      </c>
      <c r="I40" s="6">
        <v>44682</v>
      </c>
      <c r="J40" s="4">
        <v>0</v>
      </c>
      <c r="K40" s="58">
        <v>0</v>
      </c>
      <c r="L40" s="4">
        <v>4.9539999999999997</v>
      </c>
      <c r="M40" s="58">
        <v>4.9539999999999997</v>
      </c>
      <c r="N40" s="4">
        <v>4.9539999999999997</v>
      </c>
      <c r="O40" s="58">
        <v>4.9539999999999997</v>
      </c>
      <c r="P40" s="4">
        <v>0</v>
      </c>
      <c r="Q40" s="3" t="s">
        <v>26</v>
      </c>
      <c r="R40" s="3">
        <v>0</v>
      </c>
      <c r="S40" s="3">
        <v>0</v>
      </c>
      <c r="T40" s="3">
        <v>50</v>
      </c>
      <c r="U40" s="3">
        <v>61</v>
      </c>
      <c r="V40" s="58">
        <f>IF(ISERROR(VLOOKUP($S$40,'TAR FIN'!$A$1:$O$88,15,0)),0,VLOOKUP($S$40,'TAR FIN'!$A$1:$O$88,15,0))</f>
        <v>0</v>
      </c>
      <c r="W40" s="58">
        <f>IF(ISERROR(VLOOKUP($T$40,'TAR FIN'!$A$1:$O$88,15,0)),0,VLOOKUP($T$40,'TAR FIN'!$A$1:$O$88,15,0))*(1-0.06)</f>
        <v>56.757199999999997</v>
      </c>
      <c r="X40" s="58">
        <f>IF(ISERROR(VLOOKUP($U$40,'TAR FIN'!$A$1:$O$88,15,0)),0,VLOOKUP($U$40,'TAR FIN'!$A$1:$O$88,15,0))*(1-0.06)</f>
        <v>141.24439999999998</v>
      </c>
      <c r="Y40" s="58"/>
      <c r="Z40" s="58">
        <f ca="1">('TUSD BE'!$AM$12+'TUSD BF'!$AM$12+'TUSD CVA'!$AM$12)*1*(1-0.03)</f>
        <v>91.682163922213206</v>
      </c>
      <c r="AA40" s="58">
        <f>('TE BE'!$AB$6+'TE BF'!$AB$6+'TE CVA'!$AB$6)*1*(1-0.03)</f>
        <v>132.52397739539686</v>
      </c>
      <c r="AB40" s="58">
        <f>(SUBSIDIO!$J$40*SUBSIDIO!$V$40)*(0.06)/(1-0.06)</f>
        <v>0</v>
      </c>
      <c r="AC40" s="58">
        <f>((SUBSIDIO!$L$40*SUBSIDIO!$W$40)+(SUBSIDIO!$N$40*SUBSIDIO!$X$40))*(0.06)/(1-0.06)</f>
        <v>62.610633599999993</v>
      </c>
      <c r="AD40" s="58">
        <f>(SUBSIDIO!$J$40*SUBSIDIO!$Y$40)*(0.03)/(1-0.03)</f>
        <v>0</v>
      </c>
      <c r="AE40" s="58">
        <f ca="1">((SUBSIDIO!$L$40*SUBSIDIO!$Z$40)+(SUBSIDIO!$N$40*SUBSIDIO!$AA$40))*(0.03)/(1-0.03)</f>
        <v>34.352079095487838</v>
      </c>
      <c r="AF40" s="3" t="s">
        <v>648</v>
      </c>
    </row>
    <row r="41" spans="1:32" ht="11.25" customHeight="1" x14ac:dyDescent="0.25">
      <c r="A41" s="3" t="s">
        <v>21</v>
      </c>
      <c r="B41" s="3" t="s">
        <v>35</v>
      </c>
      <c r="C41" s="3" t="s">
        <v>39</v>
      </c>
      <c r="D41" s="3" t="s">
        <v>49</v>
      </c>
      <c r="E41" s="3" t="s">
        <v>50</v>
      </c>
      <c r="F41" s="3" t="s">
        <v>25</v>
      </c>
      <c r="G41" s="3" t="s">
        <v>25</v>
      </c>
      <c r="H41" s="3" t="s">
        <v>38</v>
      </c>
      <c r="I41" s="6">
        <v>44713</v>
      </c>
      <c r="J41" s="4">
        <v>0</v>
      </c>
      <c r="K41" s="58">
        <v>0</v>
      </c>
      <c r="L41" s="4">
        <v>5.3840000000000003</v>
      </c>
      <c r="M41" s="58">
        <v>5.3840000000000003</v>
      </c>
      <c r="N41" s="4">
        <v>5.3840000000000003</v>
      </c>
      <c r="O41" s="58">
        <v>5.3840000000000003</v>
      </c>
      <c r="P41" s="4">
        <v>0</v>
      </c>
      <c r="Q41" s="3" t="s">
        <v>26</v>
      </c>
      <c r="R41" s="3">
        <v>0</v>
      </c>
      <c r="S41" s="3">
        <v>0</v>
      </c>
      <c r="T41" s="3">
        <v>50</v>
      </c>
      <c r="U41" s="3">
        <v>61</v>
      </c>
      <c r="V41" s="58">
        <f>IF(ISERROR(VLOOKUP($S$41,'TAR FIN'!$A$1:$O$88,15,0)),0,VLOOKUP($S$41,'TAR FIN'!$A$1:$O$88,15,0))</f>
        <v>0</v>
      </c>
      <c r="W41" s="58">
        <f>IF(ISERROR(VLOOKUP($T$41,'TAR FIN'!$A$1:$O$88,15,0)),0,VLOOKUP($T$41,'TAR FIN'!$A$1:$O$88,15,0))*(1-0.06)</f>
        <v>56.757199999999997</v>
      </c>
      <c r="X41" s="58">
        <f>IF(ISERROR(VLOOKUP($U$41,'TAR FIN'!$A$1:$O$88,15,0)),0,VLOOKUP($U$41,'TAR FIN'!$A$1:$O$88,15,0))*(1-0.06)</f>
        <v>141.24439999999998</v>
      </c>
      <c r="Y41" s="58"/>
      <c r="Z41" s="58">
        <f ca="1">('TUSD BE'!$AM$12+'TUSD BF'!$AM$12+'TUSD CVA'!$AM$12)*1*(1-0.03)</f>
        <v>91.682163922213206</v>
      </c>
      <c r="AA41" s="58">
        <f>('TE BE'!$AB$6+'TE BF'!$AB$6+'TE CVA'!$AB$6)*1*(1-0.03)</f>
        <v>132.52397739539686</v>
      </c>
      <c r="AB41" s="58">
        <f>(SUBSIDIO!$J$41*SUBSIDIO!$V$41)*(0.06)/(1-0.06)</f>
        <v>0</v>
      </c>
      <c r="AC41" s="58">
        <f>((SUBSIDIO!$L$41*SUBSIDIO!$W$41)+(SUBSIDIO!$N$41*SUBSIDIO!$X$41))*(0.06)/(1-0.06)</f>
        <v>68.045145599999998</v>
      </c>
      <c r="AD41" s="58">
        <f>(SUBSIDIO!$J$41*SUBSIDIO!$Y$41)*(0.03)/(1-0.03)</f>
        <v>0</v>
      </c>
      <c r="AE41" s="58">
        <f ca="1">((SUBSIDIO!$L$41*SUBSIDIO!$Z$41)+(SUBSIDIO!$N$41*SUBSIDIO!$AA$41))*(0.03)/(1-0.03)</f>
        <v>37.333789634660185</v>
      </c>
      <c r="AF41" s="3" t="s">
        <v>648</v>
      </c>
    </row>
    <row r="42" spans="1:32" ht="11.25" customHeight="1" x14ac:dyDescent="0.25">
      <c r="A42" s="3" t="s">
        <v>21</v>
      </c>
      <c r="B42" s="3" t="s">
        <v>35</v>
      </c>
      <c r="C42" s="3" t="s">
        <v>39</v>
      </c>
      <c r="D42" s="3" t="s">
        <v>49</v>
      </c>
      <c r="E42" s="3" t="s">
        <v>50</v>
      </c>
      <c r="F42" s="3" t="s">
        <v>25</v>
      </c>
      <c r="G42" s="3" t="s">
        <v>25</v>
      </c>
      <c r="H42" s="3" t="s">
        <v>38</v>
      </c>
      <c r="I42" s="6">
        <v>44743</v>
      </c>
      <c r="J42" s="4">
        <v>0</v>
      </c>
      <c r="K42" s="58">
        <v>0</v>
      </c>
      <c r="L42" s="4">
        <v>5.2229999999999999</v>
      </c>
      <c r="M42" s="58">
        <v>5.2229999999999999</v>
      </c>
      <c r="N42" s="4">
        <v>5.2229999999999999</v>
      </c>
      <c r="O42" s="58">
        <v>5.2229999999999999</v>
      </c>
      <c r="P42" s="4">
        <v>0</v>
      </c>
      <c r="Q42" s="3" t="s">
        <v>26</v>
      </c>
      <c r="R42" s="3">
        <v>0</v>
      </c>
      <c r="S42" s="3">
        <v>0</v>
      </c>
      <c r="T42" s="3">
        <v>50</v>
      </c>
      <c r="U42" s="3">
        <v>61</v>
      </c>
      <c r="V42" s="58">
        <f>IF(ISERROR(VLOOKUP($S$42,'TAR FIN'!$A$1:$O$88,15,0)),0,VLOOKUP($S$42,'TAR FIN'!$A$1:$O$88,15,0))</f>
        <v>0</v>
      </c>
      <c r="W42" s="58">
        <f>IF(ISERROR(VLOOKUP($T$42,'TAR FIN'!$A$1:$O$88,15,0)),0,VLOOKUP($T$42,'TAR FIN'!$A$1:$O$88,15,0))*(1-0.06)</f>
        <v>56.757199999999997</v>
      </c>
      <c r="X42" s="58">
        <f>IF(ISERROR(VLOOKUP($U$42,'TAR FIN'!$A$1:$O$88,15,0)),0,VLOOKUP($U$42,'TAR FIN'!$A$1:$O$88,15,0))*(1-0.06)</f>
        <v>141.24439999999998</v>
      </c>
      <c r="Y42" s="58"/>
      <c r="Z42" s="58">
        <f ca="1">('TUSD BE'!$AM$12+'TUSD BF'!$AM$12+'TUSD CVA'!$AM$12)*1*(1-0.03)</f>
        <v>91.682163922213206</v>
      </c>
      <c r="AA42" s="58">
        <f>('TE BE'!$AB$6+'TE BF'!$AB$6+'TE CVA'!$AB$6)*1*(1-0.03)</f>
        <v>132.52397739539686</v>
      </c>
      <c r="AB42" s="58">
        <f>(SUBSIDIO!$J$42*SUBSIDIO!$V$42)*(0.06)/(1-0.06)</f>
        <v>0</v>
      </c>
      <c r="AC42" s="58">
        <f>((SUBSIDIO!$L$42*SUBSIDIO!$W$42)+(SUBSIDIO!$N$42*SUBSIDIO!$X$42))*(0.06)/(1-0.06)</f>
        <v>66.010363199999986</v>
      </c>
      <c r="AD42" s="58">
        <f>(SUBSIDIO!$J$42*SUBSIDIO!$Y$42)*(0.03)/(1-0.03)</f>
        <v>0</v>
      </c>
      <c r="AE42" s="58">
        <f ca="1">((SUBSIDIO!$L$42*SUBSIDIO!$Z$42)+(SUBSIDIO!$N$42*SUBSIDIO!$AA$42))*(0.03)/(1-0.03)</f>
        <v>36.217381735109612</v>
      </c>
      <c r="AF42" s="3" t="s">
        <v>648</v>
      </c>
    </row>
    <row r="43" spans="1:32" ht="11.25" customHeight="1" x14ac:dyDescent="0.25">
      <c r="A43" s="3" t="s">
        <v>55</v>
      </c>
      <c r="B43" s="3" t="s">
        <v>35</v>
      </c>
      <c r="C43" s="3" t="s">
        <v>39</v>
      </c>
      <c r="D43" s="3" t="s">
        <v>49</v>
      </c>
      <c r="E43" s="3" t="s">
        <v>50</v>
      </c>
      <c r="F43" s="3" t="s">
        <v>25</v>
      </c>
      <c r="G43" s="3" t="s">
        <v>25</v>
      </c>
      <c r="H43" s="3" t="s">
        <v>38</v>
      </c>
      <c r="I43" s="6">
        <v>44774</v>
      </c>
      <c r="J43" s="4">
        <v>0</v>
      </c>
      <c r="K43" s="58">
        <v>0</v>
      </c>
      <c r="L43" s="4">
        <v>5.2229999999999999</v>
      </c>
      <c r="M43" s="58">
        <v>5.2229999999999999</v>
      </c>
      <c r="N43" s="4">
        <v>5.2229999999999999</v>
      </c>
      <c r="O43" s="58">
        <v>5.2229999999999999</v>
      </c>
      <c r="P43" s="4">
        <v>0</v>
      </c>
      <c r="Q43" s="3" t="s">
        <v>26</v>
      </c>
      <c r="R43" s="3">
        <v>0</v>
      </c>
      <c r="S43" s="3">
        <v>0</v>
      </c>
      <c r="T43" s="3">
        <v>50</v>
      </c>
      <c r="U43" s="3">
        <v>61</v>
      </c>
      <c r="V43" s="58">
        <f>IF(ISERROR(VLOOKUP($S$43,'TAR FIN'!$A$1:$O$88,15,0)),0,VLOOKUP($S$43,'TAR FIN'!$A$1:$O$88,15,0))</f>
        <v>0</v>
      </c>
      <c r="W43" s="58">
        <f>IF(ISERROR(VLOOKUP($T$43,'TAR FIN'!$A$1:$O$88,15,0)),0,VLOOKUP($T$43,'TAR FIN'!$A$1:$O$88,15,0))*(1-0.06)</f>
        <v>56.757199999999997</v>
      </c>
      <c r="X43" s="58">
        <f>IF(ISERROR(VLOOKUP($U$43,'TAR FIN'!$A$1:$O$88,15,0)),0,VLOOKUP($U$43,'TAR FIN'!$A$1:$O$88,15,0))*(1-0.06)</f>
        <v>141.24439999999998</v>
      </c>
      <c r="Y43" s="58"/>
      <c r="Z43" s="58">
        <f ca="1">('TUSD BE'!$AM$12+'TUSD BF'!$AM$12+'TUSD CVA'!$AM$12)*1*(1-0.03)</f>
        <v>91.682163922213206</v>
      </c>
      <c r="AA43" s="58">
        <f>('TE BE'!$AB$6+'TE BF'!$AB$6+'TE CVA'!$AB$6)*1*(1-0.03)</f>
        <v>132.52397739539686</v>
      </c>
      <c r="AB43" s="58">
        <f>(SUBSIDIO!$J$43*SUBSIDIO!$V$43)*(0.06)/(1-0.06)</f>
        <v>0</v>
      </c>
      <c r="AC43" s="58">
        <f>((SUBSIDIO!$L$43*SUBSIDIO!$W$43)+(SUBSIDIO!$N$43*SUBSIDIO!$X$43))*(0.06)/(1-0.06)</f>
        <v>66.010363199999986</v>
      </c>
      <c r="AD43" s="58">
        <f>(SUBSIDIO!$J$43*SUBSIDIO!$Y$43)*(0.03)/(1-0.03)</f>
        <v>0</v>
      </c>
      <c r="AE43" s="58">
        <f ca="1">((SUBSIDIO!$L$43*SUBSIDIO!$Z$43)+(SUBSIDIO!$N$43*SUBSIDIO!$AA$43))*(0.03)/(1-0.03)</f>
        <v>36.217381735109612</v>
      </c>
      <c r="AF43" s="3" t="s">
        <v>648</v>
      </c>
    </row>
    <row r="44" spans="1:32" ht="11.25" customHeight="1" x14ac:dyDescent="0.25">
      <c r="A44" s="3" t="s">
        <v>21</v>
      </c>
      <c r="B44" s="3" t="s">
        <v>35</v>
      </c>
      <c r="C44" s="3" t="s">
        <v>39</v>
      </c>
      <c r="D44" s="3" t="s">
        <v>49</v>
      </c>
      <c r="E44" s="3" t="s">
        <v>50</v>
      </c>
      <c r="F44" s="3" t="s">
        <v>25</v>
      </c>
      <c r="G44" s="3" t="s">
        <v>25</v>
      </c>
      <c r="H44" s="3" t="s">
        <v>25</v>
      </c>
      <c r="I44" s="6">
        <v>44501</v>
      </c>
      <c r="J44" s="4">
        <v>30</v>
      </c>
      <c r="K44" s="59">
        <v>30</v>
      </c>
      <c r="L44" s="4">
        <v>0</v>
      </c>
      <c r="M44" s="58">
        <v>0</v>
      </c>
      <c r="N44" s="4">
        <v>0</v>
      </c>
      <c r="O44" s="58">
        <v>0</v>
      </c>
      <c r="P44" s="4">
        <v>1</v>
      </c>
      <c r="Q44" s="3" t="s">
        <v>26</v>
      </c>
      <c r="R44" s="3">
        <v>0</v>
      </c>
      <c r="S44" s="3">
        <v>46</v>
      </c>
      <c r="T44" s="3">
        <v>0</v>
      </c>
      <c r="U44" s="3">
        <v>0</v>
      </c>
      <c r="V44" s="58">
        <f>IF(ISERROR(VLOOKUP($S$44,'TAR FIN'!$A$1:$O$88,15,0)),0,VLOOKUP($S$44,'TAR FIN'!$A$1:$O$88,15,0))*(1-0.06)</f>
        <v>32.411199999999994</v>
      </c>
      <c r="W44" s="58">
        <f>IF(ISERROR(VLOOKUP($T$44,'TAR FIN'!$A$1:$O$88,15,0)),0,VLOOKUP($T$44,'TAR FIN'!$A$1:$O$88,15,0))</f>
        <v>0</v>
      </c>
      <c r="X44" s="58">
        <f>IF(ISERROR(VLOOKUP($U$44,'TAR FIN'!$A$1:$O$88,15,0)),0,VLOOKUP($U$44,'TAR FIN'!$A$1:$O$88,15,0))</f>
        <v>0</v>
      </c>
      <c r="Y44" s="58">
        <f ca="1">('TUSD BE'!$AM$10+'TUSD BF'!$AM$10+'TUSD CVA'!$AM$10)*1*(1-0.03)</f>
        <v>36.590194568948981</v>
      </c>
      <c r="Z44" s="58"/>
      <c r="AA44" s="58"/>
      <c r="AB44" s="58">
        <f>(SUBSIDIO!$J$44*SUBSIDIO!$V$44)*(0.06)/(1-0.06)</f>
        <v>62.063999999999986</v>
      </c>
      <c r="AC44" s="58">
        <f>((SUBSIDIO!$L$44*SUBSIDIO!$W$44)+(SUBSIDIO!$N$44*SUBSIDIO!$X$44))*(0.06)/(1-0.06)</f>
        <v>0</v>
      </c>
      <c r="AD44" s="58">
        <f ca="1">(SUBSIDIO!$J$44*SUBSIDIO!$Y$44)*(0.03)/(1-0.03)</f>
        <v>33.949665063973285</v>
      </c>
      <c r="AE44" s="58">
        <f>((SUBSIDIO!$L$44*SUBSIDIO!$Z$44)+(SUBSIDIO!$N$44*SUBSIDIO!$AA$44))*(0.03)/(1-0.03)</f>
        <v>0</v>
      </c>
      <c r="AF44" s="3" t="s">
        <v>648</v>
      </c>
    </row>
    <row r="45" spans="1:32" ht="11.25" customHeight="1" x14ac:dyDescent="0.25">
      <c r="A45" s="3" t="s">
        <v>21</v>
      </c>
      <c r="B45" s="3" t="s">
        <v>35</v>
      </c>
      <c r="C45" s="3" t="s">
        <v>39</v>
      </c>
      <c r="D45" s="3" t="s">
        <v>49</v>
      </c>
      <c r="E45" s="3" t="s">
        <v>50</v>
      </c>
      <c r="F45" s="3" t="s">
        <v>25</v>
      </c>
      <c r="G45" s="3" t="s">
        <v>25</v>
      </c>
      <c r="H45" s="3" t="s">
        <v>25</v>
      </c>
      <c r="I45" s="6">
        <v>44531</v>
      </c>
      <c r="J45" s="4">
        <v>30</v>
      </c>
      <c r="K45" s="59">
        <v>30</v>
      </c>
      <c r="L45" s="4">
        <v>0</v>
      </c>
      <c r="M45" s="58">
        <v>0</v>
      </c>
      <c r="N45" s="4">
        <v>0</v>
      </c>
      <c r="O45" s="58">
        <v>0</v>
      </c>
      <c r="P45" s="4">
        <v>1</v>
      </c>
      <c r="Q45" s="3" t="s">
        <v>26</v>
      </c>
      <c r="R45" s="3">
        <v>0</v>
      </c>
      <c r="S45" s="3">
        <v>46</v>
      </c>
      <c r="T45" s="3">
        <v>0</v>
      </c>
      <c r="U45" s="3">
        <v>0</v>
      </c>
      <c r="V45" s="58">
        <f>IF(ISERROR(VLOOKUP($S$45,'TAR FIN'!$A$1:$O$88,15,0)),0,VLOOKUP($S$45,'TAR FIN'!$A$1:$O$88,15,0))*(1-0.06)</f>
        <v>32.411199999999994</v>
      </c>
      <c r="W45" s="58">
        <f>IF(ISERROR(VLOOKUP($T$45,'TAR FIN'!$A$1:$O$88,15,0)),0,VLOOKUP($T$45,'TAR FIN'!$A$1:$O$88,15,0))</f>
        <v>0</v>
      </c>
      <c r="X45" s="58">
        <f>IF(ISERROR(VLOOKUP($U$45,'TAR FIN'!$A$1:$O$88,15,0)),0,VLOOKUP($U$45,'TAR FIN'!$A$1:$O$88,15,0))</f>
        <v>0</v>
      </c>
      <c r="Y45" s="58">
        <f ca="1">('TUSD BE'!$AM$10+'TUSD BF'!$AM$10+'TUSD CVA'!$AM$10)*1*(1-0.03)</f>
        <v>36.590194568948981</v>
      </c>
      <c r="Z45" s="58"/>
      <c r="AA45" s="58"/>
      <c r="AB45" s="58">
        <f>(SUBSIDIO!$J$45*SUBSIDIO!$V$45)*(0.06)/(1-0.06)</f>
        <v>62.063999999999986</v>
      </c>
      <c r="AC45" s="58">
        <f>((SUBSIDIO!$L$45*SUBSIDIO!$W$45)+(SUBSIDIO!$N$45*SUBSIDIO!$X$45))*(0.06)/(1-0.06)</f>
        <v>0</v>
      </c>
      <c r="AD45" s="58">
        <f ca="1">(SUBSIDIO!$J$45*SUBSIDIO!$Y$45)*(0.03)/(1-0.03)</f>
        <v>33.949665063973285</v>
      </c>
      <c r="AE45" s="58">
        <f>((SUBSIDIO!$L$45*SUBSIDIO!$Z$45)+(SUBSIDIO!$N$45*SUBSIDIO!$AA$45))*(0.03)/(1-0.03)</f>
        <v>0</v>
      </c>
      <c r="AF45" s="3" t="s">
        <v>648</v>
      </c>
    </row>
    <row r="46" spans="1:32" ht="11.25" customHeight="1" x14ac:dyDescent="0.25">
      <c r="A46" s="3" t="s">
        <v>21</v>
      </c>
      <c r="B46" s="3" t="s">
        <v>35</v>
      </c>
      <c r="C46" s="3" t="s">
        <v>39</v>
      </c>
      <c r="D46" s="3" t="s">
        <v>49</v>
      </c>
      <c r="E46" s="3" t="s">
        <v>50</v>
      </c>
      <c r="F46" s="3" t="s">
        <v>25</v>
      </c>
      <c r="G46" s="3" t="s">
        <v>25</v>
      </c>
      <c r="H46" s="3" t="s">
        <v>25</v>
      </c>
      <c r="I46" s="6">
        <v>44562</v>
      </c>
      <c r="J46" s="4">
        <v>78</v>
      </c>
      <c r="K46" s="59">
        <v>78</v>
      </c>
      <c r="L46" s="4">
        <v>0</v>
      </c>
      <c r="M46" s="58">
        <v>0</v>
      </c>
      <c r="N46" s="4">
        <v>0</v>
      </c>
      <c r="O46" s="58">
        <v>0</v>
      </c>
      <c r="P46" s="4">
        <v>1</v>
      </c>
      <c r="Q46" s="3" t="s">
        <v>26</v>
      </c>
      <c r="R46" s="3">
        <v>0</v>
      </c>
      <c r="S46" s="3">
        <v>46</v>
      </c>
      <c r="T46" s="3">
        <v>0</v>
      </c>
      <c r="U46" s="3">
        <v>0</v>
      </c>
      <c r="V46" s="58">
        <f>IF(ISERROR(VLOOKUP($S$46,'TAR FIN'!$A$1:$O$88,15,0)),0,VLOOKUP($S$46,'TAR FIN'!$A$1:$O$88,15,0))*(1-0.06)</f>
        <v>32.411199999999994</v>
      </c>
      <c r="W46" s="58">
        <f>IF(ISERROR(VLOOKUP($T$46,'TAR FIN'!$A$1:$O$88,15,0)),0,VLOOKUP($T$46,'TAR FIN'!$A$1:$O$88,15,0))</f>
        <v>0</v>
      </c>
      <c r="X46" s="58">
        <f>IF(ISERROR(VLOOKUP($U$46,'TAR FIN'!$A$1:$O$88,15,0)),0,VLOOKUP($U$46,'TAR FIN'!$A$1:$O$88,15,0))</f>
        <v>0</v>
      </c>
      <c r="Y46" s="58">
        <f ca="1">('TUSD BE'!$AM$10+'TUSD BF'!$AM$10+'TUSD CVA'!$AM$10)*1*(1-0.03)</f>
        <v>36.590194568948981</v>
      </c>
      <c r="Z46" s="58"/>
      <c r="AA46" s="58"/>
      <c r="AB46" s="58">
        <f>(SUBSIDIO!$J$46*SUBSIDIO!$V$46)*(0.06)/(1-0.06)</f>
        <v>161.36639999999997</v>
      </c>
      <c r="AC46" s="58">
        <f>((SUBSIDIO!$L$46*SUBSIDIO!$W$46)+(SUBSIDIO!$N$46*SUBSIDIO!$X$46))*(0.06)/(1-0.06)</f>
        <v>0</v>
      </c>
      <c r="AD46" s="58">
        <f ca="1">(SUBSIDIO!$J$46*SUBSIDIO!$Y$46)*(0.03)/(1-0.03)</f>
        <v>88.269129166330529</v>
      </c>
      <c r="AE46" s="58">
        <f>((SUBSIDIO!$L$46*SUBSIDIO!$Z$46)+(SUBSIDIO!$N$46*SUBSIDIO!$AA$46))*(0.03)/(1-0.03)</f>
        <v>0</v>
      </c>
      <c r="AF46" s="3" t="s">
        <v>648</v>
      </c>
    </row>
    <row r="47" spans="1:32" ht="11.25" customHeight="1" x14ac:dyDescent="0.25">
      <c r="A47" s="3" t="s">
        <v>21</v>
      </c>
      <c r="B47" s="3" t="s">
        <v>35</v>
      </c>
      <c r="C47" s="3" t="s">
        <v>39</v>
      </c>
      <c r="D47" s="3" t="s">
        <v>49</v>
      </c>
      <c r="E47" s="3" t="s">
        <v>50</v>
      </c>
      <c r="F47" s="3" t="s">
        <v>25</v>
      </c>
      <c r="G47" s="3" t="s">
        <v>25</v>
      </c>
      <c r="H47" s="3" t="s">
        <v>25</v>
      </c>
      <c r="I47" s="6">
        <v>44593</v>
      </c>
      <c r="J47" s="4">
        <v>78</v>
      </c>
      <c r="K47" s="59">
        <v>78</v>
      </c>
      <c r="L47" s="4">
        <v>0</v>
      </c>
      <c r="M47" s="58">
        <v>0</v>
      </c>
      <c r="N47" s="4">
        <v>0</v>
      </c>
      <c r="O47" s="58">
        <v>0</v>
      </c>
      <c r="P47" s="4">
        <v>1</v>
      </c>
      <c r="Q47" s="3" t="s">
        <v>26</v>
      </c>
      <c r="R47" s="3">
        <v>0</v>
      </c>
      <c r="S47" s="3">
        <v>46</v>
      </c>
      <c r="T47" s="3">
        <v>0</v>
      </c>
      <c r="U47" s="3">
        <v>0</v>
      </c>
      <c r="V47" s="58">
        <f>IF(ISERROR(VLOOKUP($S$47,'TAR FIN'!$A$1:$O$88,15,0)),0,VLOOKUP($S$47,'TAR FIN'!$A$1:$O$88,15,0))*(1-0.06)</f>
        <v>32.411199999999994</v>
      </c>
      <c r="W47" s="58">
        <f>IF(ISERROR(VLOOKUP($T$47,'TAR FIN'!$A$1:$O$88,15,0)),0,VLOOKUP($T$47,'TAR FIN'!$A$1:$O$88,15,0))</f>
        <v>0</v>
      </c>
      <c r="X47" s="58">
        <f>IF(ISERROR(VLOOKUP($U$47,'TAR FIN'!$A$1:$O$88,15,0)),0,VLOOKUP($U$47,'TAR FIN'!$A$1:$O$88,15,0))</f>
        <v>0</v>
      </c>
      <c r="Y47" s="58">
        <f ca="1">('TUSD BE'!$AM$10+'TUSD BF'!$AM$10+'TUSD CVA'!$AM$10)*1*(1-0.03)</f>
        <v>36.590194568948981</v>
      </c>
      <c r="Z47" s="58"/>
      <c r="AA47" s="58"/>
      <c r="AB47" s="58">
        <f>(SUBSIDIO!$J$47*SUBSIDIO!$V$47)*(0.06)/(1-0.06)</f>
        <v>161.36639999999997</v>
      </c>
      <c r="AC47" s="58">
        <f>((SUBSIDIO!$L$47*SUBSIDIO!$W$47)+(SUBSIDIO!$N$47*SUBSIDIO!$X$47))*(0.06)/(1-0.06)</f>
        <v>0</v>
      </c>
      <c r="AD47" s="58">
        <f ca="1">(SUBSIDIO!$J$47*SUBSIDIO!$Y$47)*(0.03)/(1-0.03)</f>
        <v>88.269129166330529</v>
      </c>
      <c r="AE47" s="58">
        <f>((SUBSIDIO!$L$47*SUBSIDIO!$Z$47)+(SUBSIDIO!$N$47*SUBSIDIO!$AA$47))*(0.03)/(1-0.03)</f>
        <v>0</v>
      </c>
      <c r="AF47" s="3" t="s">
        <v>648</v>
      </c>
    </row>
    <row r="48" spans="1:32" ht="11.25" customHeight="1" x14ac:dyDescent="0.25">
      <c r="A48" s="3" t="s">
        <v>21</v>
      </c>
      <c r="B48" s="3" t="s">
        <v>35</v>
      </c>
      <c r="C48" s="3" t="s">
        <v>39</v>
      </c>
      <c r="D48" s="3" t="s">
        <v>49</v>
      </c>
      <c r="E48" s="3" t="s">
        <v>50</v>
      </c>
      <c r="F48" s="3" t="s">
        <v>25</v>
      </c>
      <c r="G48" s="3" t="s">
        <v>25</v>
      </c>
      <c r="H48" s="3" t="s">
        <v>25</v>
      </c>
      <c r="I48" s="6">
        <v>44621</v>
      </c>
      <c r="J48" s="4">
        <v>78</v>
      </c>
      <c r="K48" s="59">
        <v>78</v>
      </c>
      <c r="L48" s="4">
        <v>0</v>
      </c>
      <c r="M48" s="58">
        <v>0</v>
      </c>
      <c r="N48" s="4">
        <v>0</v>
      </c>
      <c r="O48" s="58">
        <v>0</v>
      </c>
      <c r="P48" s="4">
        <v>1</v>
      </c>
      <c r="Q48" s="3" t="s">
        <v>26</v>
      </c>
      <c r="R48" s="3">
        <v>0</v>
      </c>
      <c r="S48" s="3">
        <v>46</v>
      </c>
      <c r="T48" s="3">
        <v>0</v>
      </c>
      <c r="U48" s="3">
        <v>0</v>
      </c>
      <c r="V48" s="58">
        <f>IF(ISERROR(VLOOKUP($S$48,'TAR FIN'!$A$1:$O$88,15,0)),0,VLOOKUP($S$48,'TAR FIN'!$A$1:$O$88,15,0))*(1-0.06)</f>
        <v>32.411199999999994</v>
      </c>
      <c r="W48" s="58">
        <f>IF(ISERROR(VLOOKUP($T$48,'TAR FIN'!$A$1:$O$88,15,0)),0,VLOOKUP($T$48,'TAR FIN'!$A$1:$O$88,15,0))</f>
        <v>0</v>
      </c>
      <c r="X48" s="58">
        <f>IF(ISERROR(VLOOKUP($U$48,'TAR FIN'!$A$1:$O$88,15,0)),0,VLOOKUP($U$48,'TAR FIN'!$A$1:$O$88,15,0))</f>
        <v>0</v>
      </c>
      <c r="Y48" s="58">
        <f ca="1">('TUSD BE'!$AM$10+'TUSD BF'!$AM$10+'TUSD CVA'!$AM$10)*1*(1-0.03)</f>
        <v>36.590194568948981</v>
      </c>
      <c r="Z48" s="58"/>
      <c r="AA48" s="58"/>
      <c r="AB48" s="58">
        <f>(SUBSIDIO!$J$48*SUBSIDIO!$V$48)*(0.06)/(1-0.06)</f>
        <v>161.36639999999997</v>
      </c>
      <c r="AC48" s="58">
        <f>((SUBSIDIO!$L$48*SUBSIDIO!$W$48)+(SUBSIDIO!$N$48*SUBSIDIO!$X$48))*(0.06)/(1-0.06)</f>
        <v>0</v>
      </c>
      <c r="AD48" s="58">
        <f ca="1">(SUBSIDIO!$J$48*SUBSIDIO!$Y$48)*(0.03)/(1-0.03)</f>
        <v>88.269129166330529</v>
      </c>
      <c r="AE48" s="58">
        <f>((SUBSIDIO!$L$48*SUBSIDIO!$Z$48)+(SUBSIDIO!$N$48*SUBSIDIO!$AA$48))*(0.03)/(1-0.03)</f>
        <v>0</v>
      </c>
      <c r="AF48" s="3" t="s">
        <v>648</v>
      </c>
    </row>
    <row r="49" spans="1:32" ht="11.25" customHeight="1" x14ac:dyDescent="0.25">
      <c r="A49" s="3" t="s">
        <v>21</v>
      </c>
      <c r="B49" s="3" t="s">
        <v>35</v>
      </c>
      <c r="C49" s="3" t="s">
        <v>39</v>
      </c>
      <c r="D49" s="3" t="s">
        <v>49</v>
      </c>
      <c r="E49" s="3" t="s">
        <v>50</v>
      </c>
      <c r="F49" s="3" t="s">
        <v>25</v>
      </c>
      <c r="G49" s="3" t="s">
        <v>25</v>
      </c>
      <c r="H49" s="3" t="s">
        <v>25</v>
      </c>
      <c r="I49" s="6">
        <v>44652</v>
      </c>
      <c r="J49" s="4">
        <v>78</v>
      </c>
      <c r="K49" s="59">
        <v>78</v>
      </c>
      <c r="L49" s="4">
        <v>0</v>
      </c>
      <c r="M49" s="58">
        <v>0</v>
      </c>
      <c r="N49" s="4">
        <v>0</v>
      </c>
      <c r="O49" s="58">
        <v>0</v>
      </c>
      <c r="P49" s="4">
        <v>1</v>
      </c>
      <c r="Q49" s="3" t="s">
        <v>26</v>
      </c>
      <c r="R49" s="3">
        <v>0</v>
      </c>
      <c r="S49" s="3">
        <v>46</v>
      </c>
      <c r="T49" s="3">
        <v>0</v>
      </c>
      <c r="U49" s="3">
        <v>0</v>
      </c>
      <c r="V49" s="58">
        <f>IF(ISERROR(VLOOKUP($S$49,'TAR FIN'!$A$1:$O$88,15,0)),0,VLOOKUP($S$49,'TAR FIN'!$A$1:$O$88,15,0))*(1-0.06)</f>
        <v>32.411199999999994</v>
      </c>
      <c r="W49" s="58">
        <f>IF(ISERROR(VLOOKUP($T$49,'TAR FIN'!$A$1:$O$88,15,0)),0,VLOOKUP($T$49,'TAR FIN'!$A$1:$O$88,15,0))</f>
        <v>0</v>
      </c>
      <c r="X49" s="58">
        <f>IF(ISERROR(VLOOKUP($U$49,'TAR FIN'!$A$1:$O$88,15,0)),0,VLOOKUP($U$49,'TAR FIN'!$A$1:$O$88,15,0))</f>
        <v>0</v>
      </c>
      <c r="Y49" s="58">
        <f ca="1">('TUSD BE'!$AM$10+'TUSD BF'!$AM$10+'TUSD CVA'!$AM$10)*1*(1-0.03)</f>
        <v>36.590194568948981</v>
      </c>
      <c r="Z49" s="58"/>
      <c r="AA49" s="58"/>
      <c r="AB49" s="58">
        <f>(SUBSIDIO!$J$49*SUBSIDIO!$V$49)*(0.06)/(1-0.06)</f>
        <v>161.36639999999997</v>
      </c>
      <c r="AC49" s="58">
        <f>((SUBSIDIO!$L$49*SUBSIDIO!$W$49)+(SUBSIDIO!$N$49*SUBSIDIO!$X$49))*(0.06)/(1-0.06)</f>
        <v>0</v>
      </c>
      <c r="AD49" s="58">
        <f ca="1">(SUBSIDIO!$J$49*SUBSIDIO!$Y$49)*(0.03)/(1-0.03)</f>
        <v>88.269129166330529</v>
      </c>
      <c r="AE49" s="58">
        <f>((SUBSIDIO!$L$49*SUBSIDIO!$Z$49)+(SUBSIDIO!$N$49*SUBSIDIO!$AA$49))*(0.03)/(1-0.03)</f>
        <v>0</v>
      </c>
      <c r="AF49" s="3" t="s">
        <v>648</v>
      </c>
    </row>
    <row r="50" spans="1:32" ht="11.25" customHeight="1" x14ac:dyDescent="0.25">
      <c r="A50" s="3" t="s">
        <v>21</v>
      </c>
      <c r="B50" s="3" t="s">
        <v>35</v>
      </c>
      <c r="C50" s="3" t="s">
        <v>39</v>
      </c>
      <c r="D50" s="3" t="s">
        <v>49</v>
      </c>
      <c r="E50" s="3" t="s">
        <v>50</v>
      </c>
      <c r="F50" s="3" t="s">
        <v>25</v>
      </c>
      <c r="G50" s="3" t="s">
        <v>25</v>
      </c>
      <c r="H50" s="3" t="s">
        <v>25</v>
      </c>
      <c r="I50" s="6">
        <v>44682</v>
      </c>
      <c r="J50" s="4">
        <v>78</v>
      </c>
      <c r="K50" s="59">
        <v>78</v>
      </c>
      <c r="L50" s="4">
        <v>0</v>
      </c>
      <c r="M50" s="58">
        <v>0</v>
      </c>
      <c r="N50" s="4">
        <v>0</v>
      </c>
      <c r="O50" s="58">
        <v>0</v>
      </c>
      <c r="P50" s="4">
        <v>1</v>
      </c>
      <c r="Q50" s="3" t="s">
        <v>26</v>
      </c>
      <c r="R50" s="3">
        <v>0</v>
      </c>
      <c r="S50" s="3">
        <v>46</v>
      </c>
      <c r="T50" s="3">
        <v>0</v>
      </c>
      <c r="U50" s="3">
        <v>0</v>
      </c>
      <c r="V50" s="58">
        <f>IF(ISERROR(VLOOKUP($S$50,'TAR FIN'!$A$1:$O$88,15,0)),0,VLOOKUP($S$50,'TAR FIN'!$A$1:$O$88,15,0))*(1-0.06)</f>
        <v>32.411199999999994</v>
      </c>
      <c r="W50" s="58">
        <f>IF(ISERROR(VLOOKUP($T$50,'TAR FIN'!$A$1:$O$88,15,0)),0,VLOOKUP($T$50,'TAR FIN'!$A$1:$O$88,15,0))</f>
        <v>0</v>
      </c>
      <c r="X50" s="58">
        <f>IF(ISERROR(VLOOKUP($U$50,'TAR FIN'!$A$1:$O$88,15,0)),0,VLOOKUP($U$50,'TAR FIN'!$A$1:$O$88,15,0))</f>
        <v>0</v>
      </c>
      <c r="Y50" s="58">
        <f ca="1">('TUSD BE'!$AM$10+'TUSD BF'!$AM$10+'TUSD CVA'!$AM$10)*1*(1-0.03)</f>
        <v>36.590194568948981</v>
      </c>
      <c r="Z50" s="58"/>
      <c r="AA50" s="58"/>
      <c r="AB50" s="58">
        <f>(SUBSIDIO!$J$50*SUBSIDIO!$V$50)*(0.06)/(1-0.06)</f>
        <v>161.36639999999997</v>
      </c>
      <c r="AC50" s="58">
        <f>((SUBSIDIO!$L$50*SUBSIDIO!$W$50)+(SUBSIDIO!$N$50*SUBSIDIO!$X$50))*(0.06)/(1-0.06)</f>
        <v>0</v>
      </c>
      <c r="AD50" s="58">
        <f ca="1">(SUBSIDIO!$J$50*SUBSIDIO!$Y$50)*(0.03)/(1-0.03)</f>
        <v>88.269129166330529</v>
      </c>
      <c r="AE50" s="58">
        <f>((SUBSIDIO!$L$50*SUBSIDIO!$Z$50)+(SUBSIDIO!$N$50*SUBSIDIO!$AA$50))*(0.03)/(1-0.03)</f>
        <v>0</v>
      </c>
      <c r="AF50" s="3" t="s">
        <v>648</v>
      </c>
    </row>
    <row r="51" spans="1:32" ht="11.25" customHeight="1" x14ac:dyDescent="0.25">
      <c r="A51" s="3" t="s">
        <v>21</v>
      </c>
      <c r="B51" s="3" t="s">
        <v>35</v>
      </c>
      <c r="C51" s="3" t="s">
        <v>39</v>
      </c>
      <c r="D51" s="3" t="s">
        <v>49</v>
      </c>
      <c r="E51" s="3" t="s">
        <v>50</v>
      </c>
      <c r="F51" s="3" t="s">
        <v>25</v>
      </c>
      <c r="G51" s="3" t="s">
        <v>25</v>
      </c>
      <c r="H51" s="3" t="s">
        <v>25</v>
      </c>
      <c r="I51" s="6">
        <v>44713</v>
      </c>
      <c r="J51" s="4">
        <v>78</v>
      </c>
      <c r="K51" s="59">
        <v>78</v>
      </c>
      <c r="L51" s="4">
        <v>0</v>
      </c>
      <c r="M51" s="58">
        <v>0</v>
      </c>
      <c r="N51" s="4">
        <v>0</v>
      </c>
      <c r="O51" s="58">
        <v>0</v>
      </c>
      <c r="P51" s="4">
        <v>1</v>
      </c>
      <c r="Q51" s="3" t="s">
        <v>26</v>
      </c>
      <c r="R51" s="3">
        <v>0</v>
      </c>
      <c r="S51" s="3">
        <v>46</v>
      </c>
      <c r="T51" s="3">
        <v>0</v>
      </c>
      <c r="U51" s="3">
        <v>0</v>
      </c>
      <c r="V51" s="58">
        <f>IF(ISERROR(VLOOKUP($S$51,'TAR FIN'!$A$1:$O$88,15,0)),0,VLOOKUP($S$51,'TAR FIN'!$A$1:$O$88,15,0))*(1-0.06)</f>
        <v>32.411199999999994</v>
      </c>
      <c r="W51" s="58">
        <f>IF(ISERROR(VLOOKUP($T$51,'TAR FIN'!$A$1:$O$88,15,0)),0,VLOOKUP($T$51,'TAR FIN'!$A$1:$O$88,15,0))</f>
        <v>0</v>
      </c>
      <c r="X51" s="58">
        <f>IF(ISERROR(VLOOKUP($U$51,'TAR FIN'!$A$1:$O$88,15,0)),0,VLOOKUP($U$51,'TAR FIN'!$A$1:$O$88,15,0))</f>
        <v>0</v>
      </c>
      <c r="Y51" s="58">
        <f ca="1">('TUSD BE'!$AM$10+'TUSD BF'!$AM$10+'TUSD CVA'!$AM$10)*1*(1-0.03)</f>
        <v>36.590194568948981</v>
      </c>
      <c r="Z51" s="58"/>
      <c r="AA51" s="58"/>
      <c r="AB51" s="58">
        <f>(SUBSIDIO!$J$51*SUBSIDIO!$V$51)*(0.06)/(1-0.06)</f>
        <v>161.36639999999997</v>
      </c>
      <c r="AC51" s="58">
        <f>((SUBSIDIO!$L$51*SUBSIDIO!$W$51)+(SUBSIDIO!$N$51*SUBSIDIO!$X$51))*(0.06)/(1-0.06)</f>
        <v>0</v>
      </c>
      <c r="AD51" s="58">
        <f ca="1">(SUBSIDIO!$J$51*SUBSIDIO!$Y$51)*(0.03)/(1-0.03)</f>
        <v>88.269129166330529</v>
      </c>
      <c r="AE51" s="58">
        <f>((SUBSIDIO!$L$51*SUBSIDIO!$Z$51)+(SUBSIDIO!$N$51*SUBSIDIO!$AA$51))*(0.03)/(1-0.03)</f>
        <v>0</v>
      </c>
      <c r="AF51" s="3" t="s">
        <v>648</v>
      </c>
    </row>
    <row r="52" spans="1:32" ht="11.25" customHeight="1" x14ac:dyDescent="0.25">
      <c r="A52" s="3" t="s">
        <v>21</v>
      </c>
      <c r="B52" s="3" t="s">
        <v>35</v>
      </c>
      <c r="C52" s="3" t="s">
        <v>39</v>
      </c>
      <c r="D52" s="3" t="s">
        <v>49</v>
      </c>
      <c r="E52" s="3" t="s">
        <v>50</v>
      </c>
      <c r="F52" s="3" t="s">
        <v>25</v>
      </c>
      <c r="G52" s="3" t="s">
        <v>25</v>
      </c>
      <c r="H52" s="3" t="s">
        <v>25</v>
      </c>
      <c r="I52" s="6">
        <v>44743</v>
      </c>
      <c r="J52" s="4">
        <v>78</v>
      </c>
      <c r="K52" s="59">
        <v>78</v>
      </c>
      <c r="L52" s="4">
        <v>0</v>
      </c>
      <c r="M52" s="58">
        <v>0</v>
      </c>
      <c r="N52" s="4">
        <v>0</v>
      </c>
      <c r="O52" s="58">
        <v>0</v>
      </c>
      <c r="P52" s="4">
        <v>1</v>
      </c>
      <c r="Q52" s="3" t="s">
        <v>26</v>
      </c>
      <c r="R52" s="3">
        <v>0</v>
      </c>
      <c r="S52" s="3">
        <v>46</v>
      </c>
      <c r="T52" s="3">
        <v>0</v>
      </c>
      <c r="U52" s="3">
        <v>0</v>
      </c>
      <c r="V52" s="58">
        <f>IF(ISERROR(VLOOKUP($S$52,'TAR FIN'!$A$1:$O$88,15,0)),0,VLOOKUP($S$52,'TAR FIN'!$A$1:$O$88,15,0))*(1-0.06)</f>
        <v>32.411199999999994</v>
      </c>
      <c r="W52" s="58">
        <f>IF(ISERROR(VLOOKUP($T$52,'TAR FIN'!$A$1:$O$88,15,0)),0,VLOOKUP($T$52,'TAR FIN'!$A$1:$O$88,15,0))</f>
        <v>0</v>
      </c>
      <c r="X52" s="58">
        <f>IF(ISERROR(VLOOKUP($U$52,'TAR FIN'!$A$1:$O$88,15,0)),0,VLOOKUP($U$52,'TAR FIN'!$A$1:$O$88,15,0))</f>
        <v>0</v>
      </c>
      <c r="Y52" s="58">
        <f ca="1">('TUSD BE'!$AM$10+'TUSD BF'!$AM$10+'TUSD CVA'!$AM$10)*1*(1-0.03)</f>
        <v>36.590194568948981</v>
      </c>
      <c r="Z52" s="58"/>
      <c r="AA52" s="58"/>
      <c r="AB52" s="58">
        <f>(SUBSIDIO!$J$52*SUBSIDIO!$V$52)*(0.06)/(1-0.06)</f>
        <v>161.36639999999997</v>
      </c>
      <c r="AC52" s="58">
        <f>((SUBSIDIO!$L$52*SUBSIDIO!$W$52)+(SUBSIDIO!$N$52*SUBSIDIO!$X$52))*(0.06)/(1-0.06)</f>
        <v>0</v>
      </c>
      <c r="AD52" s="58">
        <f ca="1">(SUBSIDIO!$J$52*SUBSIDIO!$Y$52)*(0.03)/(1-0.03)</f>
        <v>88.269129166330529</v>
      </c>
      <c r="AE52" s="58">
        <f>((SUBSIDIO!$L$52*SUBSIDIO!$Z$52)+(SUBSIDIO!$N$52*SUBSIDIO!$AA$52))*(0.03)/(1-0.03)</f>
        <v>0</v>
      </c>
      <c r="AF52" s="3" t="s">
        <v>648</v>
      </c>
    </row>
    <row r="53" spans="1:32" ht="11.25" customHeight="1" x14ac:dyDescent="0.25">
      <c r="A53" s="3" t="s">
        <v>55</v>
      </c>
      <c r="B53" s="3" t="s">
        <v>35</v>
      </c>
      <c r="C53" s="3" t="s">
        <v>39</v>
      </c>
      <c r="D53" s="3" t="s">
        <v>49</v>
      </c>
      <c r="E53" s="3" t="s">
        <v>50</v>
      </c>
      <c r="F53" s="3" t="s">
        <v>25</v>
      </c>
      <c r="G53" s="3" t="s">
        <v>25</v>
      </c>
      <c r="H53" s="3" t="s">
        <v>25</v>
      </c>
      <c r="I53" s="6">
        <v>44774</v>
      </c>
      <c r="J53" s="4">
        <v>78</v>
      </c>
      <c r="K53" s="59">
        <v>78</v>
      </c>
      <c r="L53" s="4">
        <v>0</v>
      </c>
      <c r="M53" s="58">
        <v>0</v>
      </c>
      <c r="N53" s="4">
        <v>0</v>
      </c>
      <c r="O53" s="58">
        <v>0</v>
      </c>
      <c r="P53" s="4">
        <v>1</v>
      </c>
      <c r="Q53" s="3" t="s">
        <v>26</v>
      </c>
      <c r="R53" s="3">
        <v>0</v>
      </c>
      <c r="S53" s="3">
        <v>46</v>
      </c>
      <c r="T53" s="3">
        <v>0</v>
      </c>
      <c r="U53" s="3">
        <v>0</v>
      </c>
      <c r="V53" s="58">
        <f>IF(ISERROR(VLOOKUP($S$53,'TAR FIN'!$A$1:$O$88,15,0)),0,VLOOKUP($S$53,'TAR FIN'!$A$1:$O$88,15,0))*(1-0.06)</f>
        <v>32.411199999999994</v>
      </c>
      <c r="W53" s="58">
        <f>IF(ISERROR(VLOOKUP($T$53,'TAR FIN'!$A$1:$O$88,15,0)),0,VLOOKUP($T$53,'TAR FIN'!$A$1:$O$88,15,0))</f>
        <v>0</v>
      </c>
      <c r="X53" s="58">
        <f>IF(ISERROR(VLOOKUP($U$53,'TAR FIN'!$A$1:$O$88,15,0)),0,VLOOKUP($U$53,'TAR FIN'!$A$1:$O$88,15,0))</f>
        <v>0</v>
      </c>
      <c r="Y53" s="58">
        <f ca="1">('TUSD BE'!$AM$10+'TUSD BF'!$AM$10+'TUSD CVA'!$AM$10)*1*(1-0.03)</f>
        <v>36.590194568948981</v>
      </c>
      <c r="Z53" s="58"/>
      <c r="AA53" s="58"/>
      <c r="AB53" s="58">
        <f>(SUBSIDIO!$J$53*SUBSIDIO!$V$53)*(0.06)/(1-0.06)</f>
        <v>161.36639999999997</v>
      </c>
      <c r="AC53" s="58">
        <f>((SUBSIDIO!$L$53*SUBSIDIO!$W$53)+(SUBSIDIO!$N$53*SUBSIDIO!$X$53))*(0.06)/(1-0.06)</f>
        <v>0</v>
      </c>
      <c r="AD53" s="58">
        <f ca="1">(SUBSIDIO!$J$53*SUBSIDIO!$Y$53)*(0.03)/(1-0.03)</f>
        <v>88.269129166330529</v>
      </c>
      <c r="AE53" s="58">
        <f>((SUBSIDIO!$L$53*SUBSIDIO!$Z$53)+(SUBSIDIO!$N$53*SUBSIDIO!$AA$53))*(0.03)/(1-0.03)</f>
        <v>0</v>
      </c>
      <c r="AF53" s="3" t="s">
        <v>648</v>
      </c>
    </row>
    <row r="54" spans="1:32" ht="11.25" customHeight="1" x14ac:dyDescent="0.25">
      <c r="A54" s="3" t="s">
        <v>21</v>
      </c>
      <c r="B54" s="3" t="s">
        <v>35</v>
      </c>
      <c r="C54" s="3" t="s">
        <v>39</v>
      </c>
      <c r="D54" s="3" t="s">
        <v>49</v>
      </c>
      <c r="E54" s="3" t="s">
        <v>50</v>
      </c>
      <c r="F54" s="3" t="s">
        <v>25</v>
      </c>
      <c r="G54" s="3" t="s">
        <v>25</v>
      </c>
      <c r="H54" s="3" t="s">
        <v>37</v>
      </c>
      <c r="I54" s="6">
        <v>44501</v>
      </c>
      <c r="J54" s="4">
        <v>0</v>
      </c>
      <c r="K54" s="58">
        <v>0</v>
      </c>
      <c r="L54" s="4">
        <v>0.57299999999999995</v>
      </c>
      <c r="M54" s="58">
        <v>0.57299999999999995</v>
      </c>
      <c r="N54" s="4">
        <v>0.57299999999999995</v>
      </c>
      <c r="O54" s="58">
        <v>0.57299999999999995</v>
      </c>
      <c r="P54" s="4">
        <v>0</v>
      </c>
      <c r="Q54" s="3" t="s">
        <v>26</v>
      </c>
      <c r="R54" s="3">
        <v>0</v>
      </c>
      <c r="S54" s="3">
        <v>0</v>
      </c>
      <c r="T54" s="3">
        <v>35</v>
      </c>
      <c r="U54" s="3">
        <v>70</v>
      </c>
      <c r="V54" s="58">
        <f>IF(ISERROR(VLOOKUP($S$54,'TAR FIN'!$A$1:$O$88,15,0)),0,VLOOKUP($S$54,'TAR FIN'!$A$1:$O$88,15,0))</f>
        <v>0</v>
      </c>
      <c r="W54" s="58">
        <f>IF(ISERROR(VLOOKUP($T$54,'TAR FIN'!$A$1:$O$88,15,0)),0,VLOOKUP($T$54,'TAR FIN'!$A$1:$O$88,15,0))*(1-0.06)</f>
        <v>2515.5903999999996</v>
      </c>
      <c r="X54" s="58">
        <f>IF(ISERROR(VLOOKUP($U$54,'TAR FIN'!$A$1:$O$88,15,0)),0,VLOOKUP($U$54,'TAR FIN'!$A$1:$O$88,15,0))*(1-0.06)</f>
        <v>141.24439999999998</v>
      </c>
      <c r="Y54" s="58"/>
      <c r="Z54" s="58">
        <f ca="1">('TUSD BE'!$AM$11+'TUSD BF'!$AM$11+'TUSD CVA'!$AM$11)*1*(1-0.03)</f>
        <v>2547.8791355819558</v>
      </c>
      <c r="AA54" s="58">
        <f>('TE BE'!$AB$5+'TE BF'!$AB$5+'TE CVA'!$AB$5)*1*(1-0.03)</f>
        <v>132.52397739539686</v>
      </c>
      <c r="AB54" s="58">
        <f>(SUBSIDIO!$J$54*SUBSIDIO!$V$54)*(0.06)/(1-0.06)</f>
        <v>0</v>
      </c>
      <c r="AC54" s="58">
        <f>((SUBSIDIO!$L$54*SUBSIDIO!$W$54)+(SUBSIDIO!$N$54*SUBSIDIO!$X$54))*(0.06)/(1-0.06)</f>
        <v>97.17231959999998</v>
      </c>
      <c r="AD54" s="58">
        <f>(SUBSIDIO!$J$54*SUBSIDIO!$Y$54)*(0.03)/(1-0.03)</f>
        <v>0</v>
      </c>
      <c r="AE54" s="58">
        <f ca="1">((SUBSIDIO!$L$54*SUBSIDIO!$Z$54)+(SUBSIDIO!$N$54*SUBSIDIO!$AA$54))*(0.03)/(1-0.03)</f>
        <v>47.501164445444005</v>
      </c>
      <c r="AF54" s="3" t="s">
        <v>648</v>
      </c>
    </row>
    <row r="55" spans="1:32" ht="11.25" customHeight="1" x14ac:dyDescent="0.25">
      <c r="A55" s="3" t="s">
        <v>21</v>
      </c>
      <c r="B55" s="3" t="s">
        <v>35</v>
      </c>
      <c r="C55" s="3" t="s">
        <v>39</v>
      </c>
      <c r="D55" s="3" t="s">
        <v>49</v>
      </c>
      <c r="E55" s="3" t="s">
        <v>50</v>
      </c>
      <c r="F55" s="3" t="s">
        <v>25</v>
      </c>
      <c r="G55" s="3" t="s">
        <v>25</v>
      </c>
      <c r="H55" s="3" t="s">
        <v>37</v>
      </c>
      <c r="I55" s="6">
        <v>44531</v>
      </c>
      <c r="J55" s="4">
        <v>0</v>
      </c>
      <c r="K55" s="58">
        <v>0</v>
      </c>
      <c r="L55" s="4">
        <v>0.40400000000000003</v>
      </c>
      <c r="M55" s="58">
        <v>0.40400000000000003</v>
      </c>
      <c r="N55" s="4">
        <v>0.40400000000000003</v>
      </c>
      <c r="O55" s="58">
        <v>0.40400000000000003</v>
      </c>
      <c r="P55" s="4">
        <v>0</v>
      </c>
      <c r="Q55" s="3" t="s">
        <v>26</v>
      </c>
      <c r="R55" s="3">
        <v>0</v>
      </c>
      <c r="S55" s="3">
        <v>0</v>
      </c>
      <c r="T55" s="3">
        <v>35</v>
      </c>
      <c r="U55" s="3">
        <v>70</v>
      </c>
      <c r="V55" s="58">
        <f>IF(ISERROR(VLOOKUP($S$55,'TAR FIN'!$A$1:$O$88,15,0)),0,VLOOKUP($S$55,'TAR FIN'!$A$1:$O$88,15,0))</f>
        <v>0</v>
      </c>
      <c r="W55" s="58">
        <f>IF(ISERROR(VLOOKUP($T$55,'TAR FIN'!$A$1:$O$88,15,0)),0,VLOOKUP($T$55,'TAR FIN'!$A$1:$O$88,15,0))*(1-0.06)</f>
        <v>2515.5903999999996</v>
      </c>
      <c r="X55" s="58">
        <f>IF(ISERROR(VLOOKUP($U$55,'TAR FIN'!$A$1:$O$88,15,0)),0,VLOOKUP($U$55,'TAR FIN'!$A$1:$O$88,15,0))*(1-0.06)</f>
        <v>141.24439999999998</v>
      </c>
      <c r="Y55" s="58"/>
      <c r="Z55" s="58">
        <f ca="1">('TUSD BE'!$AM$11+'TUSD BF'!$AM$11+'TUSD CVA'!$AM$11)*1*(1-0.03)</f>
        <v>2547.8791355819558</v>
      </c>
      <c r="AA55" s="58">
        <f>('TE BE'!$AB$5+'TE BF'!$AB$5+'TE CVA'!$AB$5)*1*(1-0.03)</f>
        <v>132.52397739539686</v>
      </c>
      <c r="AB55" s="58">
        <f>(SUBSIDIO!$J$55*SUBSIDIO!$V$55)*(0.06)/(1-0.06)</f>
        <v>0</v>
      </c>
      <c r="AC55" s="58">
        <f>((SUBSIDIO!$L$55*SUBSIDIO!$W$55)+(SUBSIDIO!$N$55*SUBSIDIO!$X$55))*(0.06)/(1-0.06)</f>
        <v>68.512420800000001</v>
      </c>
      <c r="AD55" s="58">
        <f>(SUBSIDIO!$J$55*SUBSIDIO!$Y$55)*(0.03)/(1-0.03)</f>
        <v>0</v>
      </c>
      <c r="AE55" s="58">
        <f ca="1">((SUBSIDIO!$L$55*SUBSIDIO!$Z$55)+(SUBSIDIO!$N$55*SUBSIDIO!$AA$55))*(0.03)/(1-0.03)</f>
        <v>33.491222401325274</v>
      </c>
      <c r="AF55" s="3" t="s">
        <v>648</v>
      </c>
    </row>
    <row r="56" spans="1:32" ht="11.25" customHeight="1" x14ac:dyDescent="0.25">
      <c r="A56" s="3" t="s">
        <v>21</v>
      </c>
      <c r="B56" s="3" t="s">
        <v>35</v>
      </c>
      <c r="C56" s="3" t="s">
        <v>39</v>
      </c>
      <c r="D56" s="3" t="s">
        <v>49</v>
      </c>
      <c r="E56" s="3" t="s">
        <v>50</v>
      </c>
      <c r="F56" s="3" t="s">
        <v>25</v>
      </c>
      <c r="G56" s="3" t="s">
        <v>25</v>
      </c>
      <c r="H56" s="3" t="s">
        <v>37</v>
      </c>
      <c r="I56" s="6">
        <v>44562</v>
      </c>
      <c r="J56" s="4">
        <v>0</v>
      </c>
      <c r="K56" s="58">
        <v>0</v>
      </c>
      <c r="L56" s="4">
        <v>0.48099999999999998</v>
      </c>
      <c r="M56" s="58">
        <v>0.48099999999999998</v>
      </c>
      <c r="N56" s="4">
        <v>0.48099999999999998</v>
      </c>
      <c r="O56" s="58">
        <v>0.48099999999999998</v>
      </c>
      <c r="P56" s="4">
        <v>0</v>
      </c>
      <c r="Q56" s="3" t="s">
        <v>26</v>
      </c>
      <c r="R56" s="3">
        <v>0</v>
      </c>
      <c r="S56" s="3">
        <v>0</v>
      </c>
      <c r="T56" s="3">
        <v>35</v>
      </c>
      <c r="U56" s="3">
        <v>70</v>
      </c>
      <c r="V56" s="58">
        <f>IF(ISERROR(VLOOKUP($S$56,'TAR FIN'!$A$1:$O$88,15,0)),0,VLOOKUP($S$56,'TAR FIN'!$A$1:$O$88,15,0))</f>
        <v>0</v>
      </c>
      <c r="W56" s="58">
        <f>IF(ISERROR(VLOOKUP($T$56,'TAR FIN'!$A$1:$O$88,15,0)),0,VLOOKUP($T$56,'TAR FIN'!$A$1:$O$88,15,0))*(1-0.06)</f>
        <v>2515.5903999999996</v>
      </c>
      <c r="X56" s="58">
        <f>IF(ISERROR(VLOOKUP($U$56,'TAR FIN'!$A$1:$O$88,15,0)),0,VLOOKUP($U$56,'TAR FIN'!$A$1:$O$88,15,0))*(1-0.06)</f>
        <v>141.24439999999998</v>
      </c>
      <c r="Y56" s="58"/>
      <c r="Z56" s="58">
        <f ca="1">('TUSD BE'!$AM$11+'TUSD BF'!$AM$11+'TUSD CVA'!$AM$11)*1*(1-0.03)</f>
        <v>2547.8791355819558</v>
      </c>
      <c r="AA56" s="58">
        <f>('TE BE'!$AB$5+'TE BF'!$AB$5+'TE CVA'!$AB$5)*1*(1-0.03)</f>
        <v>132.52397739539686</v>
      </c>
      <c r="AB56" s="58">
        <f>(SUBSIDIO!$J$56*SUBSIDIO!$V$56)*(0.06)/(1-0.06)</f>
        <v>0</v>
      </c>
      <c r="AC56" s="58">
        <f>((SUBSIDIO!$L$56*SUBSIDIO!$W$56)+(SUBSIDIO!$N$56*SUBSIDIO!$X$56))*(0.06)/(1-0.06)</f>
        <v>81.570481199999975</v>
      </c>
      <c r="AD56" s="58">
        <f>(SUBSIDIO!$J$56*SUBSIDIO!$Y$56)*(0.03)/(1-0.03)</f>
        <v>0</v>
      </c>
      <c r="AE56" s="58">
        <f ca="1">((SUBSIDIO!$L$56*SUBSIDIO!$Z$56)+(SUBSIDIO!$N$56*SUBSIDIO!$AA$56))*(0.03)/(1-0.03)</f>
        <v>39.874450433261025</v>
      </c>
      <c r="AF56" s="3" t="s">
        <v>648</v>
      </c>
    </row>
    <row r="57" spans="1:32" ht="11.25" customHeight="1" x14ac:dyDescent="0.25">
      <c r="A57" s="3" t="s">
        <v>21</v>
      </c>
      <c r="B57" s="3" t="s">
        <v>35</v>
      </c>
      <c r="C57" s="3" t="s">
        <v>39</v>
      </c>
      <c r="D57" s="3" t="s">
        <v>49</v>
      </c>
      <c r="E57" s="3" t="s">
        <v>50</v>
      </c>
      <c r="F57" s="3" t="s">
        <v>25</v>
      </c>
      <c r="G57" s="3" t="s">
        <v>25</v>
      </c>
      <c r="H57" s="3" t="s">
        <v>37</v>
      </c>
      <c r="I57" s="6">
        <v>44593</v>
      </c>
      <c r="J57" s="4">
        <v>0</v>
      </c>
      <c r="K57" s="58">
        <v>0</v>
      </c>
      <c r="L57" s="4">
        <v>0.42699999999999999</v>
      </c>
      <c r="M57" s="58">
        <v>0.42699999999999999</v>
      </c>
      <c r="N57" s="4">
        <v>0.42699999999999999</v>
      </c>
      <c r="O57" s="58">
        <v>0.42699999999999999</v>
      </c>
      <c r="P57" s="4">
        <v>0</v>
      </c>
      <c r="Q57" s="3" t="s">
        <v>26</v>
      </c>
      <c r="R57" s="3">
        <v>0</v>
      </c>
      <c r="S57" s="3">
        <v>0</v>
      </c>
      <c r="T57" s="3">
        <v>35</v>
      </c>
      <c r="U57" s="3">
        <v>70</v>
      </c>
      <c r="V57" s="58">
        <f>IF(ISERROR(VLOOKUP($S$57,'TAR FIN'!$A$1:$O$88,15,0)),0,VLOOKUP($S$57,'TAR FIN'!$A$1:$O$88,15,0))</f>
        <v>0</v>
      </c>
      <c r="W57" s="58">
        <f>IF(ISERROR(VLOOKUP($T$57,'TAR FIN'!$A$1:$O$88,15,0)),0,VLOOKUP($T$57,'TAR FIN'!$A$1:$O$88,15,0))*(1-0.06)</f>
        <v>2515.5903999999996</v>
      </c>
      <c r="X57" s="58">
        <f>IF(ISERROR(VLOOKUP($U$57,'TAR FIN'!$A$1:$O$88,15,0)),0,VLOOKUP($U$57,'TAR FIN'!$A$1:$O$88,15,0))*(1-0.06)</f>
        <v>141.24439999999998</v>
      </c>
      <c r="Y57" s="58"/>
      <c r="Z57" s="58">
        <f ca="1">('TUSD BE'!$AM$11+'TUSD BF'!$AM$11+'TUSD CVA'!$AM$11)*1*(1-0.03)</f>
        <v>2547.8791355819558</v>
      </c>
      <c r="AA57" s="58">
        <f>('TE BE'!$AB$5+'TE BF'!$AB$5+'TE CVA'!$AB$5)*1*(1-0.03)</f>
        <v>132.52397739539686</v>
      </c>
      <c r="AB57" s="58">
        <f>(SUBSIDIO!$J$57*SUBSIDIO!$V$57)*(0.06)/(1-0.06)</f>
        <v>0</v>
      </c>
      <c r="AC57" s="58">
        <f>((SUBSIDIO!$L$57*SUBSIDIO!$W$57)+(SUBSIDIO!$N$57*SUBSIDIO!$X$57))*(0.06)/(1-0.06)</f>
        <v>72.412880399999992</v>
      </c>
      <c r="AD57" s="58">
        <f>(SUBSIDIO!$J$57*SUBSIDIO!$Y$57)*(0.03)/(1-0.03)</f>
        <v>0</v>
      </c>
      <c r="AE57" s="58">
        <f ca="1">((SUBSIDIO!$L$57*SUBSIDIO!$Z$57)+(SUBSIDIO!$N$57*SUBSIDIO!$AA$57))*(0.03)/(1-0.03)</f>
        <v>35.397900904371006</v>
      </c>
      <c r="AF57" s="3" t="s">
        <v>648</v>
      </c>
    </row>
    <row r="58" spans="1:32" ht="11.25" customHeight="1" x14ac:dyDescent="0.25">
      <c r="A58" s="3" t="s">
        <v>21</v>
      </c>
      <c r="B58" s="3" t="s">
        <v>35</v>
      </c>
      <c r="C58" s="3" t="s">
        <v>39</v>
      </c>
      <c r="D58" s="3" t="s">
        <v>49</v>
      </c>
      <c r="E58" s="3" t="s">
        <v>50</v>
      </c>
      <c r="F58" s="3" t="s">
        <v>25</v>
      </c>
      <c r="G58" s="3" t="s">
        <v>25</v>
      </c>
      <c r="H58" s="3" t="s">
        <v>37</v>
      </c>
      <c r="I58" s="6">
        <v>44621</v>
      </c>
      <c r="J58" s="4">
        <v>0</v>
      </c>
      <c r="K58" s="58">
        <v>0</v>
      </c>
      <c r="L58" s="4">
        <v>0.40400000000000003</v>
      </c>
      <c r="M58" s="58">
        <v>0.40400000000000003</v>
      </c>
      <c r="N58" s="4">
        <v>0.40400000000000003</v>
      </c>
      <c r="O58" s="58">
        <v>0.40400000000000003</v>
      </c>
      <c r="P58" s="4">
        <v>0</v>
      </c>
      <c r="Q58" s="3" t="s">
        <v>26</v>
      </c>
      <c r="R58" s="3">
        <v>0</v>
      </c>
      <c r="S58" s="3">
        <v>0</v>
      </c>
      <c r="T58" s="3">
        <v>35</v>
      </c>
      <c r="U58" s="3">
        <v>70</v>
      </c>
      <c r="V58" s="58">
        <f>IF(ISERROR(VLOOKUP($S$58,'TAR FIN'!$A$1:$O$88,15,0)),0,VLOOKUP($S$58,'TAR FIN'!$A$1:$O$88,15,0))</f>
        <v>0</v>
      </c>
      <c r="W58" s="58">
        <f>IF(ISERROR(VLOOKUP($T$58,'TAR FIN'!$A$1:$O$88,15,0)),0,VLOOKUP($T$58,'TAR FIN'!$A$1:$O$88,15,0))*(1-0.06)</f>
        <v>2515.5903999999996</v>
      </c>
      <c r="X58" s="58">
        <f>IF(ISERROR(VLOOKUP($U$58,'TAR FIN'!$A$1:$O$88,15,0)),0,VLOOKUP($U$58,'TAR FIN'!$A$1:$O$88,15,0))*(1-0.06)</f>
        <v>141.24439999999998</v>
      </c>
      <c r="Y58" s="58"/>
      <c r="Z58" s="58">
        <f ca="1">('TUSD BE'!$AM$11+'TUSD BF'!$AM$11+'TUSD CVA'!$AM$11)*1*(1-0.03)</f>
        <v>2547.8791355819558</v>
      </c>
      <c r="AA58" s="58">
        <f>('TE BE'!$AB$5+'TE BF'!$AB$5+'TE CVA'!$AB$5)*1*(1-0.03)</f>
        <v>132.52397739539686</v>
      </c>
      <c r="AB58" s="58">
        <f>(SUBSIDIO!$J$58*SUBSIDIO!$V$58)*(0.06)/(1-0.06)</f>
        <v>0</v>
      </c>
      <c r="AC58" s="58">
        <f>((SUBSIDIO!$L$58*SUBSIDIO!$W$58)+(SUBSIDIO!$N$58*SUBSIDIO!$X$58))*(0.06)/(1-0.06)</f>
        <v>68.512420800000001</v>
      </c>
      <c r="AD58" s="58">
        <f>(SUBSIDIO!$J$58*SUBSIDIO!$Y$58)*(0.03)/(1-0.03)</f>
        <v>0</v>
      </c>
      <c r="AE58" s="58">
        <f ca="1">((SUBSIDIO!$L$58*SUBSIDIO!$Z$58)+(SUBSIDIO!$N$58*SUBSIDIO!$AA$58))*(0.03)/(1-0.03)</f>
        <v>33.491222401325274</v>
      </c>
      <c r="AF58" s="3" t="s">
        <v>648</v>
      </c>
    </row>
    <row r="59" spans="1:32" ht="11.25" customHeight="1" x14ac:dyDescent="0.25">
      <c r="A59" s="3" t="s">
        <v>21</v>
      </c>
      <c r="B59" s="3" t="s">
        <v>35</v>
      </c>
      <c r="C59" s="3" t="s">
        <v>39</v>
      </c>
      <c r="D59" s="3" t="s">
        <v>49</v>
      </c>
      <c r="E59" s="3" t="s">
        <v>50</v>
      </c>
      <c r="F59" s="3" t="s">
        <v>25</v>
      </c>
      <c r="G59" s="3" t="s">
        <v>25</v>
      </c>
      <c r="H59" s="3" t="s">
        <v>37</v>
      </c>
      <c r="I59" s="6">
        <v>44652</v>
      </c>
      <c r="J59" s="4">
        <v>0</v>
      </c>
      <c r="K59" s="58">
        <v>0</v>
      </c>
      <c r="L59" s="4">
        <v>0.68500000000000005</v>
      </c>
      <c r="M59" s="58">
        <v>0.68500000000000005</v>
      </c>
      <c r="N59" s="4">
        <v>0.68500000000000005</v>
      </c>
      <c r="O59" s="58">
        <v>0.68500000000000005</v>
      </c>
      <c r="P59" s="4">
        <v>0</v>
      </c>
      <c r="Q59" s="3" t="s">
        <v>26</v>
      </c>
      <c r="R59" s="3">
        <v>0</v>
      </c>
      <c r="S59" s="3">
        <v>0</v>
      </c>
      <c r="T59" s="3">
        <v>35</v>
      </c>
      <c r="U59" s="3">
        <v>70</v>
      </c>
      <c r="V59" s="58">
        <f>IF(ISERROR(VLOOKUP($S$59,'TAR FIN'!$A$1:$O$88,15,0)),0,VLOOKUP($S$59,'TAR FIN'!$A$1:$O$88,15,0))</f>
        <v>0</v>
      </c>
      <c r="W59" s="58">
        <f>IF(ISERROR(VLOOKUP($T$59,'TAR FIN'!$A$1:$O$88,15,0)),0,VLOOKUP($T$59,'TAR FIN'!$A$1:$O$88,15,0))*(1-0.06)</f>
        <v>2515.5903999999996</v>
      </c>
      <c r="X59" s="58">
        <f>IF(ISERROR(VLOOKUP($U$59,'TAR FIN'!$A$1:$O$88,15,0)),0,VLOOKUP($U$59,'TAR FIN'!$A$1:$O$88,15,0))*(1-0.06)</f>
        <v>141.24439999999998</v>
      </c>
      <c r="Y59" s="58"/>
      <c r="Z59" s="58">
        <f ca="1">('TUSD BE'!$AM$11+'TUSD BF'!$AM$11+'TUSD CVA'!$AM$11)*1*(1-0.03)</f>
        <v>2547.8791355819558</v>
      </c>
      <c r="AA59" s="58">
        <f>('TE BE'!$AB$5+'TE BF'!$AB$5+'TE CVA'!$AB$5)*1*(1-0.03)</f>
        <v>132.52397739539686</v>
      </c>
      <c r="AB59" s="58">
        <f>(SUBSIDIO!$J$59*SUBSIDIO!$V$59)*(0.06)/(1-0.06)</f>
        <v>0</v>
      </c>
      <c r="AC59" s="58">
        <f>((SUBSIDIO!$L$59*SUBSIDIO!$W$59)+(SUBSIDIO!$N$59*SUBSIDIO!$X$59))*(0.06)/(1-0.06)</f>
        <v>116.165862</v>
      </c>
      <c r="AD59" s="58">
        <f>(SUBSIDIO!$J$59*SUBSIDIO!$Y$59)*(0.03)/(1-0.03)</f>
        <v>0</v>
      </c>
      <c r="AE59" s="58">
        <f ca="1">((SUBSIDIO!$L$59*SUBSIDIO!$Z$59)+(SUBSIDIO!$N$59*SUBSIDIO!$AA$59))*(0.03)/(1-0.03)</f>
        <v>56.785859764623297</v>
      </c>
      <c r="AF59" s="3" t="s">
        <v>648</v>
      </c>
    </row>
    <row r="60" spans="1:32" ht="11.25" customHeight="1" x14ac:dyDescent="0.25">
      <c r="A60" s="3" t="s">
        <v>21</v>
      </c>
      <c r="B60" s="3" t="s">
        <v>35</v>
      </c>
      <c r="C60" s="3" t="s">
        <v>39</v>
      </c>
      <c r="D60" s="3" t="s">
        <v>49</v>
      </c>
      <c r="E60" s="3" t="s">
        <v>50</v>
      </c>
      <c r="F60" s="3" t="s">
        <v>25</v>
      </c>
      <c r="G60" s="3" t="s">
        <v>25</v>
      </c>
      <c r="H60" s="3" t="s">
        <v>37</v>
      </c>
      <c r="I60" s="6">
        <v>44682</v>
      </c>
      <c r="J60" s="4">
        <v>0</v>
      </c>
      <c r="K60" s="58">
        <v>0</v>
      </c>
      <c r="L60" s="4">
        <v>0.6</v>
      </c>
      <c r="M60" s="58">
        <v>0.6</v>
      </c>
      <c r="N60" s="4">
        <v>0.6</v>
      </c>
      <c r="O60" s="58">
        <v>0.6</v>
      </c>
      <c r="P60" s="4">
        <v>0</v>
      </c>
      <c r="Q60" s="3" t="s">
        <v>26</v>
      </c>
      <c r="R60" s="3">
        <v>0</v>
      </c>
      <c r="S60" s="3">
        <v>0</v>
      </c>
      <c r="T60" s="3">
        <v>35</v>
      </c>
      <c r="U60" s="3">
        <v>70</v>
      </c>
      <c r="V60" s="58">
        <f>IF(ISERROR(VLOOKUP($S$60,'TAR FIN'!$A$1:$O$88,15,0)),0,VLOOKUP($S$60,'TAR FIN'!$A$1:$O$88,15,0))</f>
        <v>0</v>
      </c>
      <c r="W60" s="58">
        <f>IF(ISERROR(VLOOKUP($T$60,'TAR FIN'!$A$1:$O$88,15,0)),0,VLOOKUP($T$60,'TAR FIN'!$A$1:$O$88,15,0))*(1-0.06)</f>
        <v>2515.5903999999996</v>
      </c>
      <c r="X60" s="58">
        <f>IF(ISERROR(VLOOKUP($U$60,'TAR FIN'!$A$1:$O$88,15,0)),0,VLOOKUP($U$60,'TAR FIN'!$A$1:$O$88,15,0))*(1-0.06)</f>
        <v>141.24439999999998</v>
      </c>
      <c r="Y60" s="58"/>
      <c r="Z60" s="58">
        <f ca="1">('TUSD BE'!$AM$11+'TUSD BF'!$AM$11+'TUSD CVA'!$AM$11)*1*(1-0.03)</f>
        <v>2547.8791355819558</v>
      </c>
      <c r="AA60" s="58">
        <f>('TE BE'!$AB$5+'TE BF'!$AB$5+'TE CVA'!$AB$5)*1*(1-0.03)</f>
        <v>132.52397739539686</v>
      </c>
      <c r="AB60" s="58">
        <f>(SUBSIDIO!$J$60*SUBSIDIO!$V$60)*(0.06)/(1-0.06)</f>
        <v>0</v>
      </c>
      <c r="AC60" s="58">
        <f>((SUBSIDIO!$L$60*SUBSIDIO!$W$60)+(SUBSIDIO!$N$60*SUBSIDIO!$X$60))*(0.06)/(1-0.06)</f>
        <v>101.75111999999999</v>
      </c>
      <c r="AD60" s="58">
        <f>(SUBSIDIO!$J$60*SUBSIDIO!$Y$60)*(0.03)/(1-0.03)</f>
        <v>0</v>
      </c>
      <c r="AE60" s="58">
        <f ca="1">((SUBSIDIO!$L$60*SUBSIDIO!$Z$60)+(SUBSIDIO!$N$60*SUBSIDIO!$AA$60))*(0.03)/(1-0.03)</f>
        <v>49.739439209889007</v>
      </c>
      <c r="AF60" s="3" t="s">
        <v>648</v>
      </c>
    </row>
    <row r="61" spans="1:32" ht="11.25" customHeight="1" x14ac:dyDescent="0.25">
      <c r="A61" s="3" t="s">
        <v>21</v>
      </c>
      <c r="B61" s="3" t="s">
        <v>35</v>
      </c>
      <c r="C61" s="3" t="s">
        <v>39</v>
      </c>
      <c r="D61" s="3" t="s">
        <v>49</v>
      </c>
      <c r="E61" s="3" t="s">
        <v>50</v>
      </c>
      <c r="F61" s="3" t="s">
        <v>25</v>
      </c>
      <c r="G61" s="3" t="s">
        <v>25</v>
      </c>
      <c r="H61" s="3" t="s">
        <v>37</v>
      </c>
      <c r="I61" s="6">
        <v>44713</v>
      </c>
      <c r="J61" s="4">
        <v>0</v>
      </c>
      <c r="K61" s="58">
        <v>0</v>
      </c>
      <c r="L61" s="4">
        <v>0.69699999999999995</v>
      </c>
      <c r="M61" s="58">
        <v>0.69699999999999995</v>
      </c>
      <c r="N61" s="4">
        <v>0.69699999999999995</v>
      </c>
      <c r="O61" s="58">
        <v>0.69699999999999995</v>
      </c>
      <c r="P61" s="4">
        <v>0</v>
      </c>
      <c r="Q61" s="3" t="s">
        <v>26</v>
      </c>
      <c r="R61" s="3">
        <v>0</v>
      </c>
      <c r="S61" s="3">
        <v>0</v>
      </c>
      <c r="T61" s="3">
        <v>35</v>
      </c>
      <c r="U61" s="3">
        <v>70</v>
      </c>
      <c r="V61" s="58">
        <f>IF(ISERROR(VLOOKUP($S$61,'TAR FIN'!$A$1:$O$88,15,0)),0,VLOOKUP($S$61,'TAR FIN'!$A$1:$O$88,15,0))</f>
        <v>0</v>
      </c>
      <c r="W61" s="58">
        <f>IF(ISERROR(VLOOKUP($T$61,'TAR FIN'!$A$1:$O$88,15,0)),0,VLOOKUP($T$61,'TAR FIN'!$A$1:$O$88,15,0))*(1-0.06)</f>
        <v>2515.5903999999996</v>
      </c>
      <c r="X61" s="58">
        <f>IF(ISERROR(VLOOKUP($U$61,'TAR FIN'!$A$1:$O$88,15,0)),0,VLOOKUP($U$61,'TAR FIN'!$A$1:$O$88,15,0))*(1-0.06)</f>
        <v>141.24439999999998</v>
      </c>
      <c r="Y61" s="58"/>
      <c r="Z61" s="58">
        <f ca="1">('TUSD BE'!$AM$11+'TUSD BF'!$AM$11+'TUSD CVA'!$AM$11)*1*(1-0.03)</f>
        <v>2547.8791355819558</v>
      </c>
      <c r="AA61" s="58">
        <f>('TE BE'!$AB$5+'TE BF'!$AB$5+'TE CVA'!$AB$5)*1*(1-0.03)</f>
        <v>132.52397739539686</v>
      </c>
      <c r="AB61" s="58">
        <f>(SUBSIDIO!$J$61*SUBSIDIO!$V$61)*(0.06)/(1-0.06)</f>
        <v>0</v>
      </c>
      <c r="AC61" s="58">
        <f>((SUBSIDIO!$L$61*SUBSIDIO!$W$61)+(SUBSIDIO!$N$61*SUBSIDIO!$X$61))*(0.06)/(1-0.06)</f>
        <v>118.20088439999996</v>
      </c>
      <c r="AD61" s="58">
        <f>(SUBSIDIO!$J$61*SUBSIDIO!$Y$61)*(0.03)/(1-0.03)</f>
        <v>0</v>
      </c>
      <c r="AE61" s="58">
        <f ca="1">((SUBSIDIO!$L$61*SUBSIDIO!$Z$61)+(SUBSIDIO!$N$61*SUBSIDIO!$AA$61))*(0.03)/(1-0.03)</f>
        <v>57.78064854882107</v>
      </c>
      <c r="AF61" s="3" t="s">
        <v>648</v>
      </c>
    </row>
    <row r="62" spans="1:32" ht="11.25" customHeight="1" x14ac:dyDescent="0.25">
      <c r="A62" s="3" t="s">
        <v>21</v>
      </c>
      <c r="B62" s="3" t="s">
        <v>35</v>
      </c>
      <c r="C62" s="3" t="s">
        <v>39</v>
      </c>
      <c r="D62" s="3" t="s">
        <v>49</v>
      </c>
      <c r="E62" s="3" t="s">
        <v>50</v>
      </c>
      <c r="F62" s="3" t="s">
        <v>25</v>
      </c>
      <c r="G62" s="3" t="s">
        <v>25</v>
      </c>
      <c r="H62" s="3" t="s">
        <v>37</v>
      </c>
      <c r="I62" s="6">
        <v>44743</v>
      </c>
      <c r="J62" s="4">
        <v>0</v>
      </c>
      <c r="K62" s="58">
        <v>0</v>
      </c>
      <c r="L62" s="4">
        <v>0.65900000000000003</v>
      </c>
      <c r="M62" s="58">
        <v>0.65900000000000003</v>
      </c>
      <c r="N62" s="4">
        <v>0.65900000000000003</v>
      </c>
      <c r="O62" s="58">
        <v>0.65900000000000003</v>
      </c>
      <c r="P62" s="4">
        <v>0</v>
      </c>
      <c r="Q62" s="3" t="s">
        <v>26</v>
      </c>
      <c r="R62" s="3">
        <v>0</v>
      </c>
      <c r="S62" s="3">
        <v>0</v>
      </c>
      <c r="T62" s="3">
        <v>35</v>
      </c>
      <c r="U62" s="3">
        <v>70</v>
      </c>
      <c r="V62" s="58">
        <f>IF(ISERROR(VLOOKUP($S$62,'TAR FIN'!$A$1:$O$88,15,0)),0,VLOOKUP($S$62,'TAR FIN'!$A$1:$O$88,15,0))</f>
        <v>0</v>
      </c>
      <c r="W62" s="58">
        <f>IF(ISERROR(VLOOKUP($T$62,'TAR FIN'!$A$1:$O$88,15,0)),0,VLOOKUP($T$62,'TAR FIN'!$A$1:$O$88,15,0))*(1-0.06)</f>
        <v>2515.5903999999996</v>
      </c>
      <c r="X62" s="58">
        <f>IF(ISERROR(VLOOKUP($U$62,'TAR FIN'!$A$1:$O$88,15,0)),0,VLOOKUP($U$62,'TAR FIN'!$A$1:$O$88,15,0))*(1-0.06)</f>
        <v>141.24439999999998</v>
      </c>
      <c r="Y62" s="58"/>
      <c r="Z62" s="58">
        <f ca="1">('TUSD BE'!$AM$11+'TUSD BF'!$AM$11+'TUSD CVA'!$AM$11)*1*(1-0.03)</f>
        <v>2547.8791355819558</v>
      </c>
      <c r="AA62" s="58">
        <f>('TE BE'!$AB$5+'TE BF'!$AB$5+'TE CVA'!$AB$5)*1*(1-0.03)</f>
        <v>132.52397739539686</v>
      </c>
      <c r="AB62" s="58">
        <f>(SUBSIDIO!$J$62*SUBSIDIO!$V$62)*(0.06)/(1-0.06)</f>
        <v>0</v>
      </c>
      <c r="AC62" s="58">
        <f>((SUBSIDIO!$L$62*SUBSIDIO!$W$62)+(SUBSIDIO!$N$62*SUBSIDIO!$X$62))*(0.06)/(1-0.06)</f>
        <v>111.7566468</v>
      </c>
      <c r="AD62" s="58">
        <f>(SUBSIDIO!$J$62*SUBSIDIO!$Y$62)*(0.03)/(1-0.03)</f>
        <v>0</v>
      </c>
      <c r="AE62" s="58">
        <f ca="1">((SUBSIDIO!$L$62*SUBSIDIO!$Z$62)+(SUBSIDIO!$N$62*SUBSIDIO!$AA$62))*(0.03)/(1-0.03)</f>
        <v>54.630484065528108</v>
      </c>
      <c r="AF62" s="3" t="s">
        <v>648</v>
      </c>
    </row>
    <row r="63" spans="1:32" ht="11.25" customHeight="1" x14ac:dyDescent="0.25">
      <c r="A63" s="3" t="s">
        <v>55</v>
      </c>
      <c r="B63" s="3" t="s">
        <v>35</v>
      </c>
      <c r="C63" s="3" t="s">
        <v>39</v>
      </c>
      <c r="D63" s="3" t="s">
        <v>49</v>
      </c>
      <c r="E63" s="3" t="s">
        <v>50</v>
      </c>
      <c r="F63" s="3" t="s">
        <v>25</v>
      </c>
      <c r="G63" s="3" t="s">
        <v>25</v>
      </c>
      <c r="H63" s="3" t="s">
        <v>37</v>
      </c>
      <c r="I63" s="6">
        <v>44774</v>
      </c>
      <c r="J63" s="4">
        <v>0</v>
      </c>
      <c r="K63" s="58">
        <v>0</v>
      </c>
      <c r="L63" s="4">
        <v>0.65900000000000003</v>
      </c>
      <c r="M63" s="58">
        <v>0.65900000000000003</v>
      </c>
      <c r="N63" s="4">
        <v>0.65900000000000003</v>
      </c>
      <c r="O63" s="58">
        <v>0.65900000000000003</v>
      </c>
      <c r="P63" s="4">
        <v>0</v>
      </c>
      <c r="Q63" s="3" t="s">
        <v>26</v>
      </c>
      <c r="R63" s="3">
        <v>0</v>
      </c>
      <c r="S63" s="3">
        <v>0</v>
      </c>
      <c r="T63" s="3">
        <v>35</v>
      </c>
      <c r="U63" s="3">
        <v>70</v>
      </c>
      <c r="V63" s="58">
        <f>IF(ISERROR(VLOOKUP($S$63,'TAR FIN'!$A$1:$O$88,15,0)),0,VLOOKUP($S$63,'TAR FIN'!$A$1:$O$88,15,0))</f>
        <v>0</v>
      </c>
      <c r="W63" s="58">
        <f>IF(ISERROR(VLOOKUP($T$63,'TAR FIN'!$A$1:$O$88,15,0)),0,VLOOKUP($T$63,'TAR FIN'!$A$1:$O$88,15,0))*(1-0.06)</f>
        <v>2515.5903999999996</v>
      </c>
      <c r="X63" s="58">
        <f>IF(ISERROR(VLOOKUP($U$63,'TAR FIN'!$A$1:$O$88,15,0)),0,VLOOKUP($U$63,'TAR FIN'!$A$1:$O$88,15,0))*(1-0.06)</f>
        <v>141.24439999999998</v>
      </c>
      <c r="Y63" s="58"/>
      <c r="Z63" s="58">
        <f ca="1">('TUSD BE'!$AM$11+'TUSD BF'!$AM$11+'TUSD CVA'!$AM$11)*1*(1-0.03)</f>
        <v>2547.8791355819558</v>
      </c>
      <c r="AA63" s="58">
        <f>('TE BE'!$AB$5+'TE BF'!$AB$5+'TE CVA'!$AB$5)*1*(1-0.03)</f>
        <v>132.52397739539686</v>
      </c>
      <c r="AB63" s="58">
        <f>(SUBSIDIO!$J$63*SUBSIDIO!$V$63)*(0.06)/(1-0.06)</f>
        <v>0</v>
      </c>
      <c r="AC63" s="58">
        <f>((SUBSIDIO!$L$63*SUBSIDIO!$W$63)+(SUBSIDIO!$N$63*SUBSIDIO!$X$63))*(0.06)/(1-0.06)</f>
        <v>111.7566468</v>
      </c>
      <c r="AD63" s="58">
        <f>(SUBSIDIO!$J$63*SUBSIDIO!$Y$63)*(0.03)/(1-0.03)</f>
        <v>0</v>
      </c>
      <c r="AE63" s="58">
        <f ca="1">((SUBSIDIO!$L$63*SUBSIDIO!$Z$63)+(SUBSIDIO!$N$63*SUBSIDIO!$AA$63))*(0.03)/(1-0.03)</f>
        <v>54.630484065528108</v>
      </c>
      <c r="AF63" s="3" t="s">
        <v>648</v>
      </c>
    </row>
    <row r="64" spans="1:32" ht="11.25" customHeight="1" x14ac:dyDescent="0.25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24</v>
      </c>
      <c r="F64" s="3" t="s">
        <v>25</v>
      </c>
      <c r="G64" s="3" t="s">
        <v>25</v>
      </c>
      <c r="H64" s="3" t="s">
        <v>25</v>
      </c>
      <c r="I64" s="6">
        <v>44440</v>
      </c>
      <c r="J64" s="4">
        <v>0</v>
      </c>
      <c r="K64" s="4">
        <v>0</v>
      </c>
      <c r="L64" s="4">
        <v>2353.8519999999999</v>
      </c>
      <c r="M64" s="4">
        <v>2353.8519999999999</v>
      </c>
      <c r="N64" s="4">
        <v>2353.8519999999999</v>
      </c>
      <c r="O64" s="4">
        <v>2353.8519999999999</v>
      </c>
      <c r="P64" s="4">
        <v>11922</v>
      </c>
      <c r="Q64" s="3" t="s">
        <v>26</v>
      </c>
      <c r="R64" s="3">
        <v>0</v>
      </c>
      <c r="S64" s="3">
        <v>0</v>
      </c>
      <c r="T64" s="3">
        <v>34</v>
      </c>
      <c r="U64" s="3">
        <v>83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501.48</v>
      </c>
      <c r="X64" s="4">
        <f>IF(ISERROR(VLOOKUP($U$64,'TAR FIN'!$A$1:$O$88,15,0)),0,VLOOKUP($U$64,'TAR FIN'!$A$1:$O$88,15,0))</f>
        <v>150.26</v>
      </c>
      <c r="Y64" s="4"/>
      <c r="Z64" s="4">
        <f ca="1">('TUSD BE'!$AM$20+'TUSD BF'!$AM$20+'TUSD CVA'!$AM$20)*1</f>
        <v>590.21277757372172</v>
      </c>
      <c r="AA64" s="4">
        <f>('TE BE'!$AB$10+'TE BF'!$AB$10+'TE CVA'!$AB$10)*1</f>
        <v>136.62265710865657</v>
      </c>
      <c r="AB64" s="4">
        <f t="shared" ref="AB64:AB65" si="2">(J64-K64)*V64</f>
        <v>0</v>
      </c>
      <c r="AC64" s="4">
        <f t="shared" ref="AC64" si="3">(L64-M64)*W64+(N64-O64)*X64</f>
        <v>0</v>
      </c>
      <c r="AD64" s="4">
        <f t="shared" ref="AD64:AD65" si="4">(J64-K64)*Y64</f>
        <v>0</v>
      </c>
      <c r="AE64" s="4">
        <f t="shared" ref="AE64" ca="1" si="5">(L64-M64)*Z64+(N64-O64)*AA64</f>
        <v>0</v>
      </c>
    </row>
    <row r="65" spans="1:32" ht="11.25" customHeight="1" x14ac:dyDescent="0.25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29</v>
      </c>
      <c r="F65" s="3" t="s">
        <v>25</v>
      </c>
      <c r="G65" s="3" t="s">
        <v>25</v>
      </c>
      <c r="H65" s="3" t="s">
        <v>25</v>
      </c>
      <c r="I65" s="6">
        <v>44440</v>
      </c>
      <c r="J65" s="4">
        <v>0</v>
      </c>
      <c r="K65" s="4">
        <v>0</v>
      </c>
      <c r="L65" s="4">
        <v>15.03</v>
      </c>
      <c r="M65" s="4">
        <v>15.03</v>
      </c>
      <c r="N65" s="4">
        <v>15.03</v>
      </c>
      <c r="O65" s="4">
        <v>15.03</v>
      </c>
      <c r="P65" s="4">
        <v>14</v>
      </c>
      <c r="Q65" s="3" t="s">
        <v>26</v>
      </c>
      <c r="R65" s="3">
        <v>0</v>
      </c>
      <c r="S65" s="3">
        <v>0</v>
      </c>
      <c r="T65" s="3">
        <v>77</v>
      </c>
      <c r="U65" s="3">
        <v>84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154.44999999999999</v>
      </c>
      <c r="X65" s="4">
        <f>IF(ISERROR(VLOOKUP($U$65,'TAR FIN'!$A$1:$O$88,15,0)),0,VLOOKUP($U$65,'TAR FIN'!$A$1:$O$88,15,0))</f>
        <v>52.59</v>
      </c>
      <c r="Y65" s="4"/>
      <c r="Z65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65" s="4">
        <f>('TE BE'!$AB$11+'TE BF'!$AB$11+'TE CVA'!$AB$11)*(1-CUSTOS!$M$34)</f>
        <v>47.817929988029796</v>
      </c>
      <c r="AB65" s="4">
        <f t="shared" si="2"/>
        <v>0</v>
      </c>
      <c r="AC65" s="4">
        <f>(L65-M65)*(W65+X65)+($W$116+$X$116-$W$65-$X$65)*(L65)</f>
        <v>5779.0349999999999</v>
      </c>
      <c r="AD65" s="4">
        <f t="shared" si="4"/>
        <v>0</v>
      </c>
      <c r="AE65" s="4">
        <f ca="1">(L65-M65)*(Z65+AA65)+($Z$116+$AA$116-$Z$65-$AA$65)*(L65)</f>
        <v>6102.8671294470951</v>
      </c>
      <c r="AF65" s="3" t="s">
        <v>649</v>
      </c>
    </row>
    <row r="66" spans="1:32" ht="11.25" customHeight="1" x14ac:dyDescent="0.25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29</v>
      </c>
      <c r="F66" s="3" t="s">
        <v>25</v>
      </c>
      <c r="G66" s="3" t="s">
        <v>25</v>
      </c>
      <c r="H66" s="3" t="s">
        <v>25</v>
      </c>
      <c r="I66" s="6">
        <v>44470</v>
      </c>
      <c r="J66" s="4">
        <v>0</v>
      </c>
      <c r="K66" s="4">
        <v>0</v>
      </c>
      <c r="L66" s="4">
        <v>15.36</v>
      </c>
      <c r="M66" s="4">
        <v>15.36</v>
      </c>
      <c r="N66" s="4">
        <v>15.36</v>
      </c>
      <c r="O66" s="4">
        <v>15.36</v>
      </c>
      <c r="P66" s="4">
        <v>13</v>
      </c>
      <c r="Q66" s="3" t="s">
        <v>26</v>
      </c>
      <c r="R66" s="3">
        <v>0</v>
      </c>
      <c r="S66" s="3">
        <v>0</v>
      </c>
      <c r="T66" s="3">
        <v>77</v>
      </c>
      <c r="U66" s="3">
        <v>84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154.44999999999999</v>
      </c>
      <c r="X66" s="4">
        <f>IF(ISERROR(VLOOKUP($U$66,'TAR FIN'!$A$1:$O$88,15,0)),0,VLOOKUP($U$66,'TAR FIN'!$A$1:$O$88,15,0))</f>
        <v>52.59</v>
      </c>
      <c r="Y66" s="4"/>
      <c r="Z66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66" s="4">
        <f>('TE BE'!$AB$11+'TE BF'!$AB$11+'TE CVA'!$AB$11)*(1-CUSTOS!$M$34)</f>
        <v>47.817929988029796</v>
      </c>
      <c r="AB66" s="4">
        <f t="shared" ref="AB66:AB129" si="6">(J66-K66)*V66</f>
        <v>0</v>
      </c>
      <c r="AC66" s="4">
        <f>(L66-M66)*(W66+X66)+($W$116+$X$116-$W$66-$X$66)*(L66)</f>
        <v>5905.92</v>
      </c>
      <c r="AD66" s="4">
        <f t="shared" ref="AD66:AD129" si="7">(J66-K66)*Y66</f>
        <v>0</v>
      </c>
      <c r="AE66" s="4">
        <f ca="1">(L66-M66)*(Z66+AA66)+($Z$116+$AA$116-$Z$66-$AA$66)*(L66)</f>
        <v>6236.8622161215826</v>
      </c>
      <c r="AF66" s="3" t="s">
        <v>649</v>
      </c>
    </row>
    <row r="67" spans="1:32" ht="11.25" customHeight="1" x14ac:dyDescent="0.25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29</v>
      </c>
      <c r="F67" s="3" t="s">
        <v>25</v>
      </c>
      <c r="G67" s="3" t="s">
        <v>25</v>
      </c>
      <c r="H67" s="3" t="s">
        <v>25</v>
      </c>
      <c r="I67" s="6">
        <v>44501</v>
      </c>
      <c r="J67" s="4">
        <v>0</v>
      </c>
      <c r="K67" s="4">
        <v>0</v>
      </c>
      <c r="L67" s="4">
        <v>15.48</v>
      </c>
      <c r="M67" s="4">
        <v>15.48</v>
      </c>
      <c r="N67" s="4">
        <v>15.48</v>
      </c>
      <c r="O67" s="4">
        <v>15.48</v>
      </c>
      <c r="P67" s="4">
        <v>9</v>
      </c>
      <c r="Q67" s="3" t="s">
        <v>26</v>
      </c>
      <c r="R67" s="3">
        <v>0</v>
      </c>
      <c r="S67" s="3">
        <v>0</v>
      </c>
      <c r="T67" s="3">
        <v>77</v>
      </c>
      <c r="U67" s="3">
        <v>84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154.44999999999999</v>
      </c>
      <c r="X67" s="4">
        <f>IF(ISERROR(VLOOKUP($U$67,'TAR FIN'!$A$1:$O$88,15,0)),0,VLOOKUP($U$67,'TAR FIN'!$A$1:$O$88,15,0))</f>
        <v>52.59</v>
      </c>
      <c r="Y67" s="4"/>
      <c r="Z67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67" s="4">
        <f>('TE BE'!$AB$11+'TE BF'!$AB$11+'TE CVA'!$AB$11)*(1-CUSTOS!$M$34)</f>
        <v>47.817929988029796</v>
      </c>
      <c r="AB67" s="4">
        <f t="shared" si="6"/>
        <v>0</v>
      </c>
      <c r="AC67" s="4">
        <f>(L67-M67)*(W67+X67)+($W$116+$X$116-$W$67-$X$67)*(L67)</f>
        <v>5952.06</v>
      </c>
      <c r="AD67" s="4">
        <f t="shared" si="7"/>
        <v>0</v>
      </c>
      <c r="AE67" s="4">
        <f ca="1">(L67-M67)*(Z67+AA67)+($Z$116+$AA$116-$Z$67-$AA$67)*(L67)</f>
        <v>6285.5877021850329</v>
      </c>
      <c r="AF67" s="3" t="s">
        <v>649</v>
      </c>
    </row>
    <row r="68" spans="1:32" ht="11.25" customHeight="1" x14ac:dyDescent="0.25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29</v>
      </c>
      <c r="F68" s="3" t="s">
        <v>25</v>
      </c>
      <c r="G68" s="3" t="s">
        <v>25</v>
      </c>
      <c r="H68" s="3" t="s">
        <v>25</v>
      </c>
      <c r="I68" s="6">
        <v>44531</v>
      </c>
      <c r="J68" s="4">
        <v>0</v>
      </c>
      <c r="K68" s="4">
        <v>0</v>
      </c>
      <c r="L68" s="4">
        <v>15.587999999999999</v>
      </c>
      <c r="M68" s="4">
        <v>15.587999999999999</v>
      </c>
      <c r="N68" s="4">
        <v>15.587999999999999</v>
      </c>
      <c r="O68" s="4">
        <v>15.587999999999999</v>
      </c>
      <c r="P68" s="4">
        <v>8</v>
      </c>
      <c r="Q68" s="3" t="s">
        <v>26</v>
      </c>
      <c r="R68" s="3">
        <v>0</v>
      </c>
      <c r="S68" s="3">
        <v>0</v>
      </c>
      <c r="T68" s="3">
        <v>77</v>
      </c>
      <c r="U68" s="3">
        <v>84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154.44999999999999</v>
      </c>
      <c r="X68" s="4">
        <f>IF(ISERROR(VLOOKUP($U$68,'TAR FIN'!$A$1:$O$88,15,0)),0,VLOOKUP($U$68,'TAR FIN'!$A$1:$O$88,15,0))</f>
        <v>52.59</v>
      </c>
      <c r="Y68" s="4"/>
      <c r="Z68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68" s="4">
        <f>('TE BE'!$AB$11+'TE BF'!$AB$11+'TE CVA'!$AB$11)*(1-CUSTOS!$M$34)</f>
        <v>47.817929988029796</v>
      </c>
      <c r="AB68" s="4">
        <f t="shared" si="6"/>
        <v>0</v>
      </c>
      <c r="AC68" s="4">
        <f>(L68-M68)*(W68+X68)+($W$116+$X$116-$W$68-$X$68)*(L68)</f>
        <v>5993.5859999999993</v>
      </c>
      <c r="AD68" s="4">
        <f t="shared" si="7"/>
        <v>0</v>
      </c>
      <c r="AE68" s="4">
        <f ca="1">(L68-M68)*(Z68+AA68)+($Z$116+$AA$116-$Z$68-$AA$68)*(L68)</f>
        <v>6329.4406396421373</v>
      </c>
      <c r="AF68" s="3" t="s">
        <v>649</v>
      </c>
    </row>
    <row r="69" spans="1:32" ht="11.25" customHeight="1" x14ac:dyDescent="0.25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29</v>
      </c>
      <c r="F69" s="3" t="s">
        <v>25</v>
      </c>
      <c r="G69" s="3" t="s">
        <v>25</v>
      </c>
      <c r="H69" s="3" t="s">
        <v>25</v>
      </c>
      <c r="I69" s="6">
        <v>44562</v>
      </c>
      <c r="J69" s="4">
        <v>0</v>
      </c>
      <c r="K69" s="4">
        <v>0</v>
      </c>
      <c r="L69" s="4">
        <v>15.54</v>
      </c>
      <c r="M69" s="4">
        <v>15.54</v>
      </c>
      <c r="N69" s="4">
        <v>15.54</v>
      </c>
      <c r="O69" s="4">
        <v>15.54</v>
      </c>
      <c r="P69" s="4">
        <v>7</v>
      </c>
      <c r="Q69" s="3" t="s">
        <v>26</v>
      </c>
      <c r="R69" s="3">
        <v>0</v>
      </c>
      <c r="S69" s="3">
        <v>0</v>
      </c>
      <c r="T69" s="3">
        <v>77</v>
      </c>
      <c r="U69" s="3">
        <v>84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154.44999999999999</v>
      </c>
      <c r="X69" s="4">
        <f>IF(ISERROR(VLOOKUP($U$69,'TAR FIN'!$A$1:$O$88,15,0)),0,VLOOKUP($U$69,'TAR FIN'!$A$1:$O$88,15,0))</f>
        <v>52.59</v>
      </c>
      <c r="Y69" s="4"/>
      <c r="Z69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69" s="4">
        <f>('TE BE'!$AB$11+'TE BF'!$AB$11+'TE CVA'!$AB$11)*(1-CUSTOS!$M$34)</f>
        <v>47.817929988029796</v>
      </c>
      <c r="AB69" s="4">
        <f t="shared" si="6"/>
        <v>0</v>
      </c>
      <c r="AC69" s="4">
        <f>(L69-M69)*(W69+X69)+($W$116+$X$116-$W$69-$X$69)*(L69)</f>
        <v>5975.13</v>
      </c>
      <c r="AD69" s="4">
        <f t="shared" si="7"/>
        <v>0</v>
      </c>
      <c r="AE69" s="4">
        <f ca="1">(L69-M69)*(Z69+AA69)+($Z$116+$AA$116-$Z$69-$AA$69)*(L69)</f>
        <v>6309.9504452167566</v>
      </c>
      <c r="AF69" s="3" t="s">
        <v>649</v>
      </c>
    </row>
    <row r="70" spans="1:32" ht="11.25" customHeight="1" x14ac:dyDescent="0.25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29</v>
      </c>
      <c r="F70" s="3" t="s">
        <v>25</v>
      </c>
      <c r="G70" s="3" t="s">
        <v>25</v>
      </c>
      <c r="H70" s="3" t="s">
        <v>25</v>
      </c>
      <c r="I70" s="6">
        <v>44593</v>
      </c>
      <c r="J70" s="4">
        <v>0</v>
      </c>
      <c r="K70" s="4">
        <v>0</v>
      </c>
      <c r="L70" s="4">
        <v>15.72</v>
      </c>
      <c r="M70" s="4">
        <v>15.72</v>
      </c>
      <c r="N70" s="4">
        <v>15.72</v>
      </c>
      <c r="O70" s="4">
        <v>15.72</v>
      </c>
      <c r="P70" s="4">
        <v>9</v>
      </c>
      <c r="Q70" s="3" t="s">
        <v>26</v>
      </c>
      <c r="R70" s="3">
        <v>0</v>
      </c>
      <c r="S70" s="3">
        <v>0</v>
      </c>
      <c r="T70" s="3">
        <v>77</v>
      </c>
      <c r="U70" s="3">
        <v>84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154.44999999999999</v>
      </c>
      <c r="X70" s="4">
        <f>IF(ISERROR(VLOOKUP($U$70,'TAR FIN'!$A$1:$O$88,15,0)),0,VLOOKUP($U$70,'TAR FIN'!$A$1:$O$88,15,0))</f>
        <v>52.59</v>
      </c>
      <c r="Y70" s="4"/>
      <c r="Z70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0" s="4">
        <f>('TE BE'!$AB$11+'TE BF'!$AB$11+'TE CVA'!$AB$11)*(1-CUSTOS!$M$34)</f>
        <v>47.817929988029796</v>
      </c>
      <c r="AB70" s="4">
        <f t="shared" si="6"/>
        <v>0</v>
      </c>
      <c r="AC70" s="4">
        <f>(L70-M70)*(W70+X70)+($W$116+$X$116-$W$70-$X$70)*(L70)</f>
        <v>6044.34</v>
      </c>
      <c r="AD70" s="4">
        <f t="shared" si="7"/>
        <v>0</v>
      </c>
      <c r="AE70" s="4">
        <f ca="1">(L70-M70)*(Z70+AA70)+($Z$116+$AA$116-$Z$70-$AA$70)*(L70)</f>
        <v>6383.0386743119325</v>
      </c>
      <c r="AF70" s="3" t="s">
        <v>649</v>
      </c>
    </row>
    <row r="71" spans="1:32" ht="11.25" customHeight="1" x14ac:dyDescent="0.25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29</v>
      </c>
      <c r="F71" s="3" t="s">
        <v>25</v>
      </c>
      <c r="G71" s="3" t="s">
        <v>25</v>
      </c>
      <c r="H71" s="3" t="s">
        <v>25</v>
      </c>
      <c r="I71" s="6">
        <v>44621</v>
      </c>
      <c r="J71" s="4">
        <v>0</v>
      </c>
      <c r="K71" s="4">
        <v>0</v>
      </c>
      <c r="L71" s="4">
        <v>16.2</v>
      </c>
      <c r="M71" s="4">
        <v>16.2</v>
      </c>
      <c r="N71" s="4">
        <v>16.2</v>
      </c>
      <c r="O71" s="4">
        <v>16.2</v>
      </c>
      <c r="P71" s="4">
        <v>10</v>
      </c>
      <c r="Q71" s="3" t="s">
        <v>26</v>
      </c>
      <c r="R71" s="3">
        <v>0</v>
      </c>
      <c r="S71" s="3">
        <v>0</v>
      </c>
      <c r="T71" s="3">
        <v>77</v>
      </c>
      <c r="U71" s="3">
        <v>84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154.44999999999999</v>
      </c>
      <c r="X71" s="4">
        <f>IF(ISERROR(VLOOKUP($U$71,'TAR FIN'!$A$1:$O$88,15,0)),0,VLOOKUP($U$71,'TAR FIN'!$A$1:$O$88,15,0))</f>
        <v>52.59</v>
      </c>
      <c r="Y71" s="4"/>
      <c r="Z71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1" s="4">
        <f>('TE BE'!$AB$11+'TE BF'!$AB$11+'TE CVA'!$AB$11)*(1-CUSTOS!$M$34)</f>
        <v>47.817929988029796</v>
      </c>
      <c r="AB71" s="4">
        <f t="shared" si="6"/>
        <v>0</v>
      </c>
      <c r="AC71" s="4">
        <f>(L71-M71)*(W71+X71)+($W$116+$X$116-$W$71-$X$71)*(L71)</f>
        <v>6228.9</v>
      </c>
      <c r="AD71" s="4">
        <f t="shared" si="7"/>
        <v>0</v>
      </c>
      <c r="AE71" s="4">
        <f ca="1">(L71-M71)*(Z71+AA71)+($Z$116+$AA$116-$Z$71-$AA$71)*(L71)</f>
        <v>6577.9406185657317</v>
      </c>
      <c r="AF71" s="3" t="s">
        <v>649</v>
      </c>
    </row>
    <row r="72" spans="1:32" ht="11.25" customHeight="1" x14ac:dyDescent="0.25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29</v>
      </c>
      <c r="F72" s="3" t="s">
        <v>25</v>
      </c>
      <c r="G72" s="3" t="s">
        <v>25</v>
      </c>
      <c r="H72" s="3" t="s">
        <v>25</v>
      </c>
      <c r="I72" s="6">
        <v>44652</v>
      </c>
      <c r="J72" s="4">
        <v>0</v>
      </c>
      <c r="K72" s="4">
        <v>0</v>
      </c>
      <c r="L72" s="4">
        <v>16.71</v>
      </c>
      <c r="M72" s="4">
        <v>16.71</v>
      </c>
      <c r="N72" s="4">
        <v>16.71</v>
      </c>
      <c r="O72" s="4">
        <v>16.71</v>
      </c>
      <c r="P72" s="4">
        <v>9</v>
      </c>
      <c r="Q72" s="3" t="s">
        <v>26</v>
      </c>
      <c r="R72" s="3">
        <v>0</v>
      </c>
      <c r="S72" s="3">
        <v>0</v>
      </c>
      <c r="T72" s="3">
        <v>77</v>
      </c>
      <c r="U72" s="3">
        <v>84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154.44999999999999</v>
      </c>
      <c r="X72" s="4">
        <f>IF(ISERROR(VLOOKUP($U$72,'TAR FIN'!$A$1:$O$88,15,0)),0,VLOOKUP($U$72,'TAR FIN'!$A$1:$O$88,15,0))</f>
        <v>52.59</v>
      </c>
      <c r="Y72" s="4"/>
      <c r="Z72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2" s="4">
        <f>('TE BE'!$AB$11+'TE BF'!$AB$11+'TE CVA'!$AB$11)*(1-CUSTOS!$M$34)</f>
        <v>47.817929988029796</v>
      </c>
      <c r="AB72" s="4">
        <f t="shared" si="6"/>
        <v>0</v>
      </c>
      <c r="AC72" s="4">
        <f>(L72-M72)*(W72+X72)+($W$116+$X$116-$W$72-$X$72)*(L72)</f>
        <v>6424.9949999999999</v>
      </c>
      <c r="AD72" s="4">
        <f t="shared" si="7"/>
        <v>0</v>
      </c>
      <c r="AE72" s="4">
        <f ca="1">(L72-M72)*(Z72+AA72)+($Z$116+$AA$116-$Z$72-$AA$72)*(L72)</f>
        <v>6785.0239343353942</v>
      </c>
      <c r="AF72" s="3" t="s">
        <v>649</v>
      </c>
    </row>
    <row r="73" spans="1:32" ht="11.25" customHeight="1" x14ac:dyDescent="0.2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29</v>
      </c>
      <c r="F73" s="3" t="s">
        <v>25</v>
      </c>
      <c r="G73" s="3" t="s">
        <v>25</v>
      </c>
      <c r="H73" s="3" t="s">
        <v>25</v>
      </c>
      <c r="I73" s="6">
        <v>44682</v>
      </c>
      <c r="J73" s="4">
        <v>0</v>
      </c>
      <c r="K73" s="4">
        <v>0</v>
      </c>
      <c r="L73" s="4">
        <v>18.239999999999998</v>
      </c>
      <c r="M73" s="4">
        <v>18.239999999999998</v>
      </c>
      <c r="N73" s="4">
        <v>18.239999999999998</v>
      </c>
      <c r="O73" s="4">
        <v>18.239999999999998</v>
      </c>
      <c r="P73" s="4">
        <v>12</v>
      </c>
      <c r="Q73" s="3" t="s">
        <v>26</v>
      </c>
      <c r="R73" s="3">
        <v>0</v>
      </c>
      <c r="S73" s="3">
        <v>0</v>
      </c>
      <c r="T73" s="3">
        <v>77</v>
      </c>
      <c r="U73" s="3">
        <v>84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154.44999999999999</v>
      </c>
      <c r="X73" s="4">
        <f>IF(ISERROR(VLOOKUP($U$73,'TAR FIN'!$A$1:$O$88,15,0)),0,VLOOKUP($U$73,'TAR FIN'!$A$1:$O$88,15,0))</f>
        <v>52.59</v>
      </c>
      <c r="Y73" s="4"/>
      <c r="Z73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3" s="4">
        <f>('TE BE'!$AB$11+'TE BF'!$AB$11+'TE CVA'!$AB$11)*(1-CUSTOS!$M$34)</f>
        <v>47.817929988029796</v>
      </c>
      <c r="AB73" s="4">
        <f t="shared" si="6"/>
        <v>0</v>
      </c>
      <c r="AC73" s="4">
        <f>(L73-M73)*(W73+X73)+($W$116+$X$116-$W$73-$X$73)*(L73)</f>
        <v>7013.28</v>
      </c>
      <c r="AD73" s="4">
        <f t="shared" si="7"/>
        <v>0</v>
      </c>
      <c r="AE73" s="4">
        <f ca="1">(L73-M73)*(Z73+AA73)+($Z$116+$AA$116-$Z$73-$AA$73)*(L73)</f>
        <v>7406.2738816443789</v>
      </c>
      <c r="AF73" s="3" t="s">
        <v>649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29</v>
      </c>
      <c r="F74" s="3" t="s">
        <v>25</v>
      </c>
      <c r="G74" s="3" t="s">
        <v>25</v>
      </c>
      <c r="H74" s="3" t="s">
        <v>25</v>
      </c>
      <c r="I74" s="6">
        <v>44713</v>
      </c>
      <c r="J74" s="4">
        <v>0</v>
      </c>
      <c r="K74" s="4">
        <v>0</v>
      </c>
      <c r="L74" s="4">
        <v>15.78</v>
      </c>
      <c r="M74" s="4">
        <v>15.78</v>
      </c>
      <c r="N74" s="4">
        <v>15.78</v>
      </c>
      <c r="O74" s="4">
        <v>15.78</v>
      </c>
      <c r="P74" s="4">
        <v>7</v>
      </c>
      <c r="Q74" s="3" t="s">
        <v>26</v>
      </c>
      <c r="R74" s="3">
        <v>0</v>
      </c>
      <c r="S74" s="3">
        <v>0</v>
      </c>
      <c r="T74" s="3">
        <v>77</v>
      </c>
      <c r="U74" s="3">
        <v>84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154.44999999999999</v>
      </c>
      <c r="X74" s="4">
        <f>IF(ISERROR(VLOOKUP($U$74,'TAR FIN'!$A$1:$O$88,15,0)),0,VLOOKUP($U$74,'TAR FIN'!$A$1:$O$88,15,0))</f>
        <v>52.59</v>
      </c>
      <c r="Y74" s="4"/>
      <c r="Z74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4" s="4">
        <f>('TE BE'!$AB$11+'TE BF'!$AB$11+'TE CVA'!$AB$11)*(1-CUSTOS!$M$34)</f>
        <v>47.817929988029796</v>
      </c>
      <c r="AB74" s="4">
        <f t="shared" si="6"/>
        <v>0</v>
      </c>
      <c r="AC74" s="4">
        <f>(L74-M74)*(W74+X74)+($W$116+$X$116-$W$74-$X$74)*(L74)</f>
        <v>6067.41</v>
      </c>
      <c r="AD74" s="4">
        <f t="shared" si="7"/>
        <v>0</v>
      </c>
      <c r="AE74" s="4">
        <f ca="1">(L74-M74)*(Z74+AA74)+($Z$116+$AA$116-$Z$74-$AA$74)*(L74)</f>
        <v>6407.4014173436572</v>
      </c>
      <c r="AF74" s="3" t="s">
        <v>649</v>
      </c>
    </row>
    <row r="75" spans="1:32" ht="11.25" customHeight="1" x14ac:dyDescent="0.25">
      <c r="A75" s="3" t="s">
        <v>27</v>
      </c>
      <c r="B75" s="3" t="s">
        <v>22</v>
      </c>
      <c r="C75" s="3" t="s">
        <v>23</v>
      </c>
      <c r="D75" s="3" t="s">
        <v>24</v>
      </c>
      <c r="E75" s="3" t="s">
        <v>29</v>
      </c>
      <c r="F75" s="3" t="s">
        <v>25</v>
      </c>
      <c r="G75" s="3" t="s">
        <v>25</v>
      </c>
      <c r="H75" s="3" t="s">
        <v>25</v>
      </c>
      <c r="I75" s="6">
        <v>44713</v>
      </c>
      <c r="J75" s="4">
        <v>0</v>
      </c>
      <c r="K75" s="4">
        <v>0</v>
      </c>
      <c r="L75" s="4">
        <v>0.03</v>
      </c>
      <c r="M75" s="4">
        <v>0.03</v>
      </c>
      <c r="N75" s="4">
        <v>0.03</v>
      </c>
      <c r="O75" s="4">
        <v>0.03</v>
      </c>
      <c r="P75" s="4">
        <v>0</v>
      </c>
      <c r="Q75" s="3" t="s">
        <v>26</v>
      </c>
      <c r="R75" s="3">
        <v>0</v>
      </c>
      <c r="S75" s="3">
        <v>0</v>
      </c>
      <c r="T75" s="3">
        <v>77</v>
      </c>
      <c r="U75" s="3">
        <v>84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154.44999999999999</v>
      </c>
      <c r="X75" s="4">
        <f>IF(ISERROR(VLOOKUP($U$75,'TAR FIN'!$A$1:$O$88,15,0)),0,VLOOKUP($U$75,'TAR FIN'!$A$1:$O$88,15,0))</f>
        <v>52.59</v>
      </c>
      <c r="Y75" s="4"/>
      <c r="Z75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5" s="4">
        <f>('TE BE'!$AB$11+'TE BF'!$AB$11+'TE CVA'!$AB$11)*(1-CUSTOS!$M$34)</f>
        <v>47.817929988029796</v>
      </c>
      <c r="AB75" s="4">
        <f t="shared" si="6"/>
        <v>0</v>
      </c>
      <c r="AC75" s="4">
        <f>(L75-M75)*(W75+X75)+($W$116+$X$116-$W$75-$X$75)*(L75)</f>
        <v>11.535</v>
      </c>
      <c r="AD75" s="4">
        <f t="shared" si="7"/>
        <v>0</v>
      </c>
      <c r="AE75" s="4">
        <f ca="1">(L75-M75)*(Z75+AA75)+($Z$116+$AA$116-$Z$75-$AA$75)*(L75)</f>
        <v>12.181371515862466</v>
      </c>
      <c r="AF75" s="3" t="s">
        <v>649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29</v>
      </c>
      <c r="F76" s="3" t="s">
        <v>25</v>
      </c>
      <c r="G76" s="3" t="s">
        <v>25</v>
      </c>
      <c r="H76" s="3" t="s">
        <v>25</v>
      </c>
      <c r="I76" s="6">
        <v>44743</v>
      </c>
      <c r="J76" s="4">
        <v>0</v>
      </c>
      <c r="K76" s="4">
        <v>0</v>
      </c>
      <c r="L76" s="4">
        <v>15.99</v>
      </c>
      <c r="M76" s="4">
        <v>15.99</v>
      </c>
      <c r="N76" s="4">
        <v>15.99</v>
      </c>
      <c r="O76" s="4">
        <v>15.99</v>
      </c>
      <c r="P76" s="4">
        <v>10</v>
      </c>
      <c r="Q76" s="3" t="s">
        <v>26</v>
      </c>
      <c r="R76" s="3">
        <v>0</v>
      </c>
      <c r="S76" s="3">
        <v>0</v>
      </c>
      <c r="T76" s="3">
        <v>77</v>
      </c>
      <c r="U76" s="3">
        <v>84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154.44999999999999</v>
      </c>
      <c r="X76" s="4">
        <f>IF(ISERROR(VLOOKUP($U$76,'TAR FIN'!$A$1:$O$88,15,0)),0,VLOOKUP($U$76,'TAR FIN'!$A$1:$O$88,15,0))</f>
        <v>52.59</v>
      </c>
      <c r="Y76" s="4"/>
      <c r="Z76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6" s="4">
        <f>('TE BE'!$AB$11+'TE BF'!$AB$11+'TE CVA'!$AB$11)*(1-CUSTOS!$M$34)</f>
        <v>47.817929988029796</v>
      </c>
      <c r="AB76" s="4">
        <f t="shared" si="6"/>
        <v>0</v>
      </c>
      <c r="AC76" s="4">
        <f>(L76-M76)*(W76+X76)+($W$116+$X$116-$W$76-$X$76)*(L76)</f>
        <v>6148.1549999999997</v>
      </c>
      <c r="AD76" s="4">
        <f t="shared" si="7"/>
        <v>0</v>
      </c>
      <c r="AE76" s="4">
        <f ca="1">(L76-M76)*(Z76+AA76)+($Z$116+$AA$116-$Z$76-$AA$76)*(L76)</f>
        <v>6492.6710179546944</v>
      </c>
      <c r="AF76" s="3" t="s">
        <v>649</v>
      </c>
    </row>
    <row r="77" spans="1:32" ht="11.25" customHeight="1" x14ac:dyDescent="0.25">
      <c r="A77" s="3" t="s">
        <v>27</v>
      </c>
      <c r="B77" s="3" t="s">
        <v>22</v>
      </c>
      <c r="C77" s="3" t="s">
        <v>23</v>
      </c>
      <c r="D77" s="3" t="s">
        <v>24</v>
      </c>
      <c r="E77" s="3" t="s">
        <v>29</v>
      </c>
      <c r="F77" s="3" t="s">
        <v>25</v>
      </c>
      <c r="G77" s="3" t="s">
        <v>25</v>
      </c>
      <c r="H77" s="3" t="s">
        <v>25</v>
      </c>
      <c r="I77" s="6">
        <v>44743</v>
      </c>
      <c r="J77" s="4">
        <v>0</v>
      </c>
      <c r="K77" s="4">
        <v>0</v>
      </c>
      <c r="L77" s="4">
        <v>0.06</v>
      </c>
      <c r="M77" s="4">
        <v>0.06</v>
      </c>
      <c r="N77" s="4">
        <v>0.06</v>
      </c>
      <c r="O77" s="4">
        <v>0.06</v>
      </c>
      <c r="P77" s="4">
        <v>0</v>
      </c>
      <c r="Q77" s="3" t="s">
        <v>26</v>
      </c>
      <c r="R77" s="3">
        <v>0</v>
      </c>
      <c r="S77" s="3">
        <v>0</v>
      </c>
      <c r="T77" s="3">
        <v>77</v>
      </c>
      <c r="U77" s="3">
        <v>84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154.44999999999999</v>
      </c>
      <c r="X77" s="4">
        <f>IF(ISERROR(VLOOKUP($U$77,'TAR FIN'!$A$1:$O$88,15,0)),0,VLOOKUP($U$77,'TAR FIN'!$A$1:$O$88,15,0))</f>
        <v>52.59</v>
      </c>
      <c r="Y77" s="4"/>
      <c r="Z77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7" s="4">
        <f>('TE BE'!$AB$11+'TE BF'!$AB$11+'TE CVA'!$AB$11)*(1-CUSTOS!$M$34)</f>
        <v>47.817929988029796</v>
      </c>
      <c r="AB77" s="4">
        <f t="shared" si="6"/>
        <v>0</v>
      </c>
      <c r="AC77" s="4">
        <f>(L77-M77)*(W77+X77)+($W$116+$X$116-$W$77-$X$77)*(L77)</f>
        <v>23.07</v>
      </c>
      <c r="AD77" s="4">
        <f t="shared" si="7"/>
        <v>0</v>
      </c>
      <c r="AE77" s="4">
        <f ca="1">(L77-M77)*(Z77+AA77)+($Z$116+$AA$116-$Z$77-$AA$77)*(L77)</f>
        <v>24.362743031724932</v>
      </c>
      <c r="AF77" s="3" t="s">
        <v>649</v>
      </c>
    </row>
    <row r="78" spans="1:32" ht="11.25" customHeight="1" x14ac:dyDescent="0.25">
      <c r="A78" s="3" t="s">
        <v>55</v>
      </c>
      <c r="B78" s="3" t="s">
        <v>22</v>
      </c>
      <c r="C78" s="3" t="s">
        <v>23</v>
      </c>
      <c r="D78" s="3" t="s">
        <v>24</v>
      </c>
      <c r="E78" s="3" t="s">
        <v>29</v>
      </c>
      <c r="F78" s="3" t="s">
        <v>25</v>
      </c>
      <c r="G78" s="3" t="s">
        <v>25</v>
      </c>
      <c r="H78" s="3" t="s">
        <v>25</v>
      </c>
      <c r="I78" s="6">
        <v>44774</v>
      </c>
      <c r="J78" s="4">
        <v>0</v>
      </c>
      <c r="K78" s="4">
        <v>0</v>
      </c>
      <c r="L78" s="4">
        <v>15.99</v>
      </c>
      <c r="M78" s="4">
        <v>15.99</v>
      </c>
      <c r="N78" s="4">
        <v>15.99</v>
      </c>
      <c r="O78" s="4">
        <v>15.99</v>
      </c>
      <c r="P78" s="4">
        <v>10</v>
      </c>
      <c r="Q78" s="3" t="s">
        <v>26</v>
      </c>
      <c r="R78" s="3">
        <v>0</v>
      </c>
      <c r="S78" s="3">
        <v>0</v>
      </c>
      <c r="T78" s="3">
        <v>77</v>
      </c>
      <c r="U78" s="3">
        <v>84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154.44999999999999</v>
      </c>
      <c r="X78" s="4">
        <f>IF(ISERROR(VLOOKUP($U$78,'TAR FIN'!$A$1:$O$88,15,0)),0,VLOOKUP($U$78,'TAR FIN'!$A$1:$O$88,15,0))</f>
        <v>52.59</v>
      </c>
      <c r="Y78" s="4"/>
      <c r="Z78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8" s="4">
        <f>('TE BE'!$AB$11+'TE BF'!$AB$11+'TE CVA'!$AB$11)*(1-CUSTOS!$M$34)</f>
        <v>47.817929988029796</v>
      </c>
      <c r="AB78" s="4">
        <f t="shared" si="6"/>
        <v>0</v>
      </c>
      <c r="AC78" s="4">
        <f>(L78-M78)*(W78+X78)+($W$116+$X$116-$W$78-$X$78)*(L78)</f>
        <v>6148.1549999999997</v>
      </c>
      <c r="AD78" s="4">
        <f t="shared" si="7"/>
        <v>0</v>
      </c>
      <c r="AE78" s="4">
        <f ca="1">(L78-M78)*(Z78+AA78)+($Z$116+$AA$116-$Z$78-$AA$78)*(L78)</f>
        <v>6492.6710179546944</v>
      </c>
      <c r="AF78" s="3" t="s">
        <v>649</v>
      </c>
    </row>
    <row r="79" spans="1:32" ht="11.25" customHeight="1" x14ac:dyDescent="0.25">
      <c r="A79" s="3" t="s">
        <v>55</v>
      </c>
      <c r="B79" s="3" t="s">
        <v>22</v>
      </c>
      <c r="C79" s="3" t="s">
        <v>23</v>
      </c>
      <c r="D79" s="3" t="s">
        <v>24</v>
      </c>
      <c r="E79" s="3" t="s">
        <v>29</v>
      </c>
      <c r="F79" s="3" t="s">
        <v>25</v>
      </c>
      <c r="G79" s="3" t="s">
        <v>25</v>
      </c>
      <c r="H79" s="3" t="s">
        <v>25</v>
      </c>
      <c r="I79" s="6">
        <v>44774</v>
      </c>
      <c r="J79" s="4">
        <v>0</v>
      </c>
      <c r="K79" s="4">
        <v>0</v>
      </c>
      <c r="L79" s="4">
        <v>0.06</v>
      </c>
      <c r="M79" s="4">
        <v>0.06</v>
      </c>
      <c r="N79" s="4">
        <v>0.06</v>
      </c>
      <c r="O79" s="4">
        <v>0.06</v>
      </c>
      <c r="P79" s="4">
        <v>0</v>
      </c>
      <c r="Q79" s="3" t="s">
        <v>26</v>
      </c>
      <c r="R79" s="3">
        <v>0</v>
      </c>
      <c r="S79" s="3">
        <v>0</v>
      </c>
      <c r="T79" s="3">
        <v>77</v>
      </c>
      <c r="U79" s="3">
        <v>84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154.44999999999999</v>
      </c>
      <c r="X79" s="4">
        <f>IF(ISERROR(VLOOKUP($U$79,'TAR FIN'!$A$1:$O$88,15,0)),0,VLOOKUP($U$79,'TAR FIN'!$A$1:$O$88,15,0))</f>
        <v>52.59</v>
      </c>
      <c r="Y79" s="4"/>
      <c r="Z79" s="4">
        <f ca="1">('TUSD BE'!$AM$21+'TUSD BF'!$AM$21+'TUSD CVA'!$AM$21-('TUSD BE'!$P$21+'TUSD BF'!$P$21+'TUSD CVA'!$P$21)-('TUSD BE'!$Q$21+'TUSD BF'!$Q$21+'TUSD CVA'!$Q$21)-('TUSD BE'!$R$21+'TUSD BF'!$R$21+'TUSD CVA'!$R$21))*(1-CUSTOS!$M$34)</f>
        <v>170.82207157873242</v>
      </c>
      <c r="AA79" s="4">
        <f>('TE BE'!$AB$11+'TE BF'!$AB$11+'TE CVA'!$AB$11)*(1-CUSTOS!$M$34)</f>
        <v>47.817929988029796</v>
      </c>
      <c r="AB79" s="4">
        <f t="shared" si="6"/>
        <v>0</v>
      </c>
      <c r="AC79" s="4">
        <f>(L79-M79)*(W79+X79)+($W$116+$X$116-$W$79-$X$79)*(L79)</f>
        <v>23.07</v>
      </c>
      <c r="AD79" s="4">
        <f t="shared" si="7"/>
        <v>0</v>
      </c>
      <c r="AE79" s="4">
        <f ca="1">(L79-M79)*(Z79+AA79)+($Z$116+$AA$116-$Z$79-$AA$79)*(L79)</f>
        <v>24.362743031724932</v>
      </c>
      <c r="AF79" s="3" t="s">
        <v>649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30</v>
      </c>
      <c r="F80" s="3" t="s">
        <v>25</v>
      </c>
      <c r="G80" s="3" t="s">
        <v>25</v>
      </c>
      <c r="H80" s="3" t="s">
        <v>25</v>
      </c>
      <c r="I80" s="6">
        <v>44440</v>
      </c>
      <c r="J80" s="4">
        <v>0</v>
      </c>
      <c r="K80" s="4">
        <v>0</v>
      </c>
      <c r="L80" s="4">
        <v>32.567999999999998</v>
      </c>
      <c r="M80" s="4">
        <v>32.567999999999998</v>
      </c>
      <c r="N80" s="4">
        <v>32.567999999999998</v>
      </c>
      <c r="O80" s="4">
        <v>32.567999999999998</v>
      </c>
      <c r="P80" s="4">
        <v>64</v>
      </c>
      <c r="Q80" s="3" t="s">
        <v>26</v>
      </c>
      <c r="R80" s="3">
        <v>0</v>
      </c>
      <c r="S80" s="3">
        <v>0</v>
      </c>
      <c r="T80" s="3">
        <v>39</v>
      </c>
      <c r="U80" s="3">
        <v>85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264.77</v>
      </c>
      <c r="X80" s="4">
        <f>IF(ISERROR(VLOOKUP($U$80,'TAR FIN'!$A$1:$O$88,15,0)),0,VLOOKUP($U$80,'TAR FIN'!$A$1:$O$88,15,0))</f>
        <v>90.16</v>
      </c>
      <c r="Y80" s="4"/>
      <c r="Z80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0" s="4">
        <f>('TE BE'!$AB$12+'TE BF'!$AB$12+'TE CVA'!$AB$12)*(1-CUSTOS!$M$35)</f>
        <v>81.973594265193938</v>
      </c>
      <c r="AB80" s="4">
        <f t="shared" si="6"/>
        <v>0</v>
      </c>
      <c r="AC80" s="4">
        <f>(L80-M80)*(W80+X80)+($W$116+$X$116-$W$80-$X$80)*(L80)</f>
        <v>7705.9144799999995</v>
      </c>
      <c r="AD80" s="4">
        <f t="shared" si="7"/>
        <v>0</v>
      </c>
      <c r="AE80" s="4">
        <f ca="1">(L80-M80)*(Z80+AA80)+($Z$116+$AA$116-$Z$80-$AA$80)*(L80)</f>
        <v>8137.9057954586424</v>
      </c>
      <c r="AF80" s="3" t="s">
        <v>649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30</v>
      </c>
      <c r="F81" s="3" t="s">
        <v>25</v>
      </c>
      <c r="G81" s="3" t="s">
        <v>25</v>
      </c>
      <c r="H81" s="3" t="s">
        <v>25</v>
      </c>
      <c r="I81" s="6">
        <v>44470</v>
      </c>
      <c r="J81" s="4">
        <v>0</v>
      </c>
      <c r="K81" s="4">
        <v>0</v>
      </c>
      <c r="L81" s="4">
        <v>33.476999999999997</v>
      </c>
      <c r="M81" s="4">
        <v>33.476999999999997</v>
      </c>
      <c r="N81" s="4">
        <v>33.476999999999997</v>
      </c>
      <c r="O81" s="4">
        <v>33.476999999999997</v>
      </c>
      <c r="P81" s="4">
        <v>58</v>
      </c>
      <c r="Q81" s="3" t="s">
        <v>26</v>
      </c>
      <c r="R81" s="3">
        <v>0</v>
      </c>
      <c r="S81" s="3">
        <v>0</v>
      </c>
      <c r="T81" s="3">
        <v>39</v>
      </c>
      <c r="U81" s="3">
        <v>85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264.77</v>
      </c>
      <c r="X81" s="4">
        <f>IF(ISERROR(VLOOKUP($U$81,'TAR FIN'!$A$1:$O$88,15,0)),0,VLOOKUP($U$81,'TAR FIN'!$A$1:$O$88,15,0))</f>
        <v>90.16</v>
      </c>
      <c r="Y81" s="4"/>
      <c r="Z81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1" s="4">
        <f>('TE BE'!$AB$12+'TE BF'!$AB$12+'TE CVA'!$AB$12)*(1-CUSTOS!$M$35)</f>
        <v>81.973594265193938</v>
      </c>
      <c r="AB81" s="4">
        <f t="shared" si="6"/>
        <v>0</v>
      </c>
      <c r="AC81" s="4">
        <f>(L81-M81)*(W81+X81)+($W$116+$X$116-$W$81-$X$81)*(L81)</f>
        <v>7920.9929699999984</v>
      </c>
      <c r="AD81" s="4">
        <f t="shared" si="7"/>
        <v>0</v>
      </c>
      <c r="AE81" s="4">
        <f ca="1">(L81-M81)*(Z81+AA81)+($Z$116+$AA$116-$Z$81-$AA$81)*(L81)</f>
        <v>8365.0415228005695</v>
      </c>
      <c r="AF81" s="3" t="s">
        <v>649</v>
      </c>
    </row>
    <row r="82" spans="1:32" ht="11.25" customHeight="1" x14ac:dyDescent="0.25">
      <c r="A82" s="3" t="s">
        <v>27</v>
      </c>
      <c r="B82" s="3" t="s">
        <v>22</v>
      </c>
      <c r="C82" s="3" t="s">
        <v>23</v>
      </c>
      <c r="D82" s="3" t="s">
        <v>24</v>
      </c>
      <c r="E82" s="3" t="s">
        <v>30</v>
      </c>
      <c r="F82" s="3" t="s">
        <v>25</v>
      </c>
      <c r="G82" s="3" t="s">
        <v>25</v>
      </c>
      <c r="H82" s="3" t="s">
        <v>25</v>
      </c>
      <c r="I82" s="6">
        <v>44470</v>
      </c>
      <c r="J82" s="4">
        <v>0</v>
      </c>
      <c r="K82" s="4">
        <v>0</v>
      </c>
      <c r="L82" s="4">
        <v>7.0000000000000007E-2</v>
      </c>
      <c r="M82" s="4">
        <v>7.0000000000000007E-2</v>
      </c>
      <c r="N82" s="4">
        <v>7.0000000000000007E-2</v>
      </c>
      <c r="O82" s="4">
        <v>7.0000000000000007E-2</v>
      </c>
      <c r="P82" s="4">
        <v>0</v>
      </c>
      <c r="Q82" s="3" t="s">
        <v>26</v>
      </c>
      <c r="R82" s="3">
        <v>0</v>
      </c>
      <c r="S82" s="3">
        <v>0</v>
      </c>
      <c r="T82" s="3">
        <v>39</v>
      </c>
      <c r="U82" s="3">
        <v>85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264.77</v>
      </c>
      <c r="X82" s="4">
        <f>IF(ISERROR(VLOOKUP($U$82,'TAR FIN'!$A$1:$O$88,15,0)),0,VLOOKUP($U$82,'TAR FIN'!$A$1:$O$88,15,0))</f>
        <v>90.16</v>
      </c>
      <c r="Y82" s="4"/>
      <c r="Z82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2" s="4">
        <f>('TE BE'!$AB$12+'TE BF'!$AB$12+'TE CVA'!$AB$12)*(1-CUSTOS!$M$35)</f>
        <v>81.973594265193938</v>
      </c>
      <c r="AB82" s="4">
        <f t="shared" si="6"/>
        <v>0</v>
      </c>
      <c r="AC82" s="4">
        <f>(L82-M82)*(W82+X82)+($W$116+$X$116-$W$82-$X$82)*(L82)</f>
        <v>16.5627</v>
      </c>
      <c r="AD82" s="4">
        <f t="shared" si="7"/>
        <v>0</v>
      </c>
      <c r="AE82" s="4">
        <f ca="1">(L82-M82)*(Z82+AA82)+($Z$116+$AA$116-$Z$82-$AA$82)*(L82)</f>
        <v>17.491200125340981</v>
      </c>
      <c r="AF82" s="3" t="s">
        <v>649</v>
      </c>
    </row>
    <row r="83" spans="1:32" ht="11.25" customHeight="1" x14ac:dyDescent="0.25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30</v>
      </c>
      <c r="F83" s="3" t="s">
        <v>25</v>
      </c>
      <c r="G83" s="3" t="s">
        <v>25</v>
      </c>
      <c r="H83" s="3" t="s">
        <v>25</v>
      </c>
      <c r="I83" s="6">
        <v>44501</v>
      </c>
      <c r="J83" s="4">
        <v>0</v>
      </c>
      <c r="K83" s="4">
        <v>0</v>
      </c>
      <c r="L83" s="4">
        <v>34.073</v>
      </c>
      <c r="M83" s="4">
        <v>34.073</v>
      </c>
      <c r="N83" s="4">
        <v>34.073</v>
      </c>
      <c r="O83" s="4">
        <v>34.073</v>
      </c>
      <c r="P83" s="4">
        <v>58</v>
      </c>
      <c r="Q83" s="3" t="s">
        <v>26</v>
      </c>
      <c r="R83" s="3">
        <v>0</v>
      </c>
      <c r="S83" s="3">
        <v>0</v>
      </c>
      <c r="T83" s="3">
        <v>39</v>
      </c>
      <c r="U83" s="3">
        <v>85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264.77</v>
      </c>
      <c r="X83" s="4">
        <f>IF(ISERROR(VLOOKUP($U$83,'TAR FIN'!$A$1:$O$88,15,0)),0,VLOOKUP($U$83,'TAR FIN'!$A$1:$O$88,15,0))</f>
        <v>90.16</v>
      </c>
      <c r="Y83" s="4"/>
      <c r="Z83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3" s="4">
        <f>('TE BE'!$AB$12+'TE BF'!$AB$12+'TE CVA'!$AB$12)*(1-CUSTOS!$M$35)</f>
        <v>81.973594265193938</v>
      </c>
      <c r="AB83" s="4">
        <f t="shared" si="6"/>
        <v>0</v>
      </c>
      <c r="AC83" s="4">
        <f>(L83-M83)*(W83+X83)+($W$116+$X$116-$W$83-$X$83)*(L83)</f>
        <v>8062.01253</v>
      </c>
      <c r="AD83" s="4">
        <f t="shared" si="7"/>
        <v>0</v>
      </c>
      <c r="AE83" s="4">
        <f ca="1">(L83-M83)*(Z83+AA83)+($Z$116+$AA$116-$Z$83-$AA$83)*(L83)</f>
        <v>8513.9665981534745</v>
      </c>
      <c r="AF83" s="3" t="s">
        <v>649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30</v>
      </c>
      <c r="F84" s="3" t="s">
        <v>25</v>
      </c>
      <c r="G84" s="3" t="s">
        <v>25</v>
      </c>
      <c r="H84" s="3" t="s">
        <v>25</v>
      </c>
      <c r="I84" s="6">
        <v>44531</v>
      </c>
      <c r="J84" s="4">
        <v>0</v>
      </c>
      <c r="K84" s="4">
        <v>0</v>
      </c>
      <c r="L84" s="4">
        <v>34.677</v>
      </c>
      <c r="M84" s="4">
        <v>34.677</v>
      </c>
      <c r="N84" s="4">
        <v>34.677</v>
      </c>
      <c r="O84" s="4">
        <v>34.677</v>
      </c>
      <c r="P84" s="4">
        <v>50</v>
      </c>
      <c r="Q84" s="3" t="s">
        <v>26</v>
      </c>
      <c r="R84" s="3">
        <v>0</v>
      </c>
      <c r="S84" s="3">
        <v>0</v>
      </c>
      <c r="T84" s="3">
        <v>39</v>
      </c>
      <c r="U84" s="3">
        <v>85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264.77</v>
      </c>
      <c r="X84" s="4">
        <f>IF(ISERROR(VLOOKUP($U$84,'TAR FIN'!$A$1:$O$88,15,0)),0,VLOOKUP($U$84,'TAR FIN'!$A$1:$O$88,15,0))</f>
        <v>90.16</v>
      </c>
      <c r="Y84" s="4"/>
      <c r="Z84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4" s="4">
        <f>('TE BE'!$AB$12+'TE BF'!$AB$12+'TE CVA'!$AB$12)*(1-CUSTOS!$M$35)</f>
        <v>81.973594265193938</v>
      </c>
      <c r="AB84" s="4">
        <f t="shared" si="6"/>
        <v>0</v>
      </c>
      <c r="AC84" s="4">
        <f>(L84-M84)*(W84+X84)+($W$116+$X$116-$W$84-$X$84)*(L84)</f>
        <v>8204.92497</v>
      </c>
      <c r="AD84" s="4">
        <f t="shared" si="7"/>
        <v>0</v>
      </c>
      <c r="AE84" s="4">
        <f ca="1">(L84-M84)*(Z84+AA84)+($Z$116+$AA$116-$Z$84-$AA$84)*(L84)</f>
        <v>8664.8906678064159</v>
      </c>
      <c r="AF84" s="3" t="s">
        <v>649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30</v>
      </c>
      <c r="F85" s="3" t="s">
        <v>25</v>
      </c>
      <c r="G85" s="3" t="s">
        <v>25</v>
      </c>
      <c r="H85" s="3" t="s">
        <v>25</v>
      </c>
      <c r="I85" s="6">
        <v>44562</v>
      </c>
      <c r="J85" s="4">
        <v>0</v>
      </c>
      <c r="K85" s="4">
        <v>0</v>
      </c>
      <c r="L85" s="4">
        <v>35.03</v>
      </c>
      <c r="M85" s="4">
        <v>35.03</v>
      </c>
      <c r="N85" s="4">
        <v>35.03</v>
      </c>
      <c r="O85" s="4">
        <v>35.03</v>
      </c>
      <c r="P85" s="4">
        <v>38</v>
      </c>
      <c r="Q85" s="3" t="s">
        <v>26</v>
      </c>
      <c r="R85" s="3">
        <v>0</v>
      </c>
      <c r="S85" s="3">
        <v>0</v>
      </c>
      <c r="T85" s="3">
        <v>39</v>
      </c>
      <c r="U85" s="3">
        <v>85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264.77</v>
      </c>
      <c r="X85" s="4">
        <f>IF(ISERROR(VLOOKUP($U$85,'TAR FIN'!$A$1:$O$88,15,0)),0,VLOOKUP($U$85,'TAR FIN'!$A$1:$O$88,15,0))</f>
        <v>90.16</v>
      </c>
      <c r="Y85" s="4"/>
      <c r="Z85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5" s="4">
        <f>('TE BE'!$AB$12+'TE BF'!$AB$12+'TE CVA'!$AB$12)*(1-CUSTOS!$M$35)</f>
        <v>81.973594265193938</v>
      </c>
      <c r="AB85" s="4">
        <f t="shared" si="6"/>
        <v>0</v>
      </c>
      <c r="AC85" s="4">
        <f>(L85-M85)*(W85+X85)+($W$116+$X$116-$W$85-$X$85)*(L85)</f>
        <v>8288.4483</v>
      </c>
      <c r="AD85" s="4">
        <f t="shared" si="7"/>
        <v>0</v>
      </c>
      <c r="AE85" s="4">
        <f ca="1">(L85-M85)*(Z85+AA85)+($Z$116+$AA$116-$Z$85-$AA$85)*(L85)</f>
        <v>8753.0962912956347</v>
      </c>
      <c r="AF85" s="3" t="s">
        <v>649</v>
      </c>
    </row>
    <row r="86" spans="1:32" ht="11.25" customHeight="1" x14ac:dyDescent="0.25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30</v>
      </c>
      <c r="F86" s="3" t="s">
        <v>25</v>
      </c>
      <c r="G86" s="3" t="s">
        <v>25</v>
      </c>
      <c r="H86" s="3" t="s">
        <v>25</v>
      </c>
      <c r="I86" s="6">
        <v>44593</v>
      </c>
      <c r="J86" s="4">
        <v>0</v>
      </c>
      <c r="K86" s="4">
        <v>0</v>
      </c>
      <c r="L86" s="4">
        <v>35.380000000000003</v>
      </c>
      <c r="M86" s="4">
        <v>35.380000000000003</v>
      </c>
      <c r="N86" s="4">
        <v>35.380000000000003</v>
      </c>
      <c r="O86" s="4">
        <v>35.380000000000003</v>
      </c>
      <c r="P86" s="4">
        <v>43</v>
      </c>
      <c r="Q86" s="3" t="s">
        <v>26</v>
      </c>
      <c r="R86" s="3">
        <v>0</v>
      </c>
      <c r="S86" s="3">
        <v>0</v>
      </c>
      <c r="T86" s="3">
        <v>39</v>
      </c>
      <c r="U86" s="3">
        <v>85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264.77</v>
      </c>
      <c r="X86" s="4">
        <f>IF(ISERROR(VLOOKUP($U$86,'TAR FIN'!$A$1:$O$88,15,0)),0,VLOOKUP($U$86,'TAR FIN'!$A$1:$O$88,15,0))</f>
        <v>90.16</v>
      </c>
      <c r="Y86" s="4"/>
      <c r="Z86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6" s="4">
        <f>('TE BE'!$AB$12+'TE BF'!$AB$12+'TE CVA'!$AB$12)*(1-CUSTOS!$M$35)</f>
        <v>81.973594265193938</v>
      </c>
      <c r="AB86" s="4">
        <f t="shared" si="6"/>
        <v>0</v>
      </c>
      <c r="AC86" s="4">
        <f>(L86-M86)*(W86+X86)+($W$116+$X$116-$W$86-$X$86)*(L86)</f>
        <v>8371.2618000000002</v>
      </c>
      <c r="AD86" s="4">
        <f t="shared" si="7"/>
        <v>0</v>
      </c>
      <c r="AE86" s="4">
        <f ca="1">(L86-M86)*(Z86+AA86)+($Z$116+$AA$116-$Z$86-$AA$86)*(L86)</f>
        <v>8840.5522919223404</v>
      </c>
      <c r="AF86" s="3" t="s">
        <v>649</v>
      </c>
    </row>
    <row r="87" spans="1:32" ht="11.25" customHeight="1" x14ac:dyDescent="0.25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30</v>
      </c>
      <c r="F87" s="3" t="s">
        <v>25</v>
      </c>
      <c r="G87" s="3" t="s">
        <v>25</v>
      </c>
      <c r="H87" s="3" t="s">
        <v>25</v>
      </c>
      <c r="I87" s="6">
        <v>44621</v>
      </c>
      <c r="J87" s="4">
        <v>0</v>
      </c>
      <c r="K87" s="4">
        <v>0</v>
      </c>
      <c r="L87" s="4">
        <v>36.347999999999999</v>
      </c>
      <c r="M87" s="4">
        <v>36.347999999999999</v>
      </c>
      <c r="N87" s="4">
        <v>36.347999999999999</v>
      </c>
      <c r="O87" s="4">
        <v>36.347999999999999</v>
      </c>
      <c r="P87" s="4">
        <v>43</v>
      </c>
      <c r="Q87" s="3" t="s">
        <v>26</v>
      </c>
      <c r="R87" s="3">
        <v>0</v>
      </c>
      <c r="S87" s="3">
        <v>0</v>
      </c>
      <c r="T87" s="3">
        <v>39</v>
      </c>
      <c r="U87" s="3">
        <v>85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264.77</v>
      </c>
      <c r="X87" s="4">
        <f>IF(ISERROR(VLOOKUP($U$87,'TAR FIN'!$A$1:$O$88,15,0)),0,VLOOKUP($U$87,'TAR FIN'!$A$1:$O$88,15,0))</f>
        <v>90.16</v>
      </c>
      <c r="Y87" s="4"/>
      <c r="Z87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7" s="4">
        <f>('TE BE'!$AB$12+'TE BF'!$AB$12+'TE CVA'!$AB$12)*(1-CUSTOS!$M$35)</f>
        <v>81.973594265193938</v>
      </c>
      <c r="AB87" s="4">
        <f t="shared" si="6"/>
        <v>0</v>
      </c>
      <c r="AC87" s="4">
        <f>(L87-M87)*(W87+X87)+($W$116+$X$116-$W$87-$X$87)*(L87)</f>
        <v>8600.3002799999995</v>
      </c>
      <c r="AD87" s="4">
        <f t="shared" si="7"/>
        <v>0</v>
      </c>
      <c r="AE87" s="4">
        <f ca="1">(L87-M87)*(Z87+AA87)+($Z$116+$AA$116-$Z$87-$AA$87)*(L87)</f>
        <v>9082.4306022270557</v>
      </c>
      <c r="AF87" s="3" t="s">
        <v>649</v>
      </c>
    </row>
    <row r="88" spans="1:32" ht="11.25" customHeight="1" x14ac:dyDescent="0.25">
      <c r="A88" s="3" t="s">
        <v>27</v>
      </c>
      <c r="B88" s="3" t="s">
        <v>22</v>
      </c>
      <c r="C88" s="3" t="s">
        <v>23</v>
      </c>
      <c r="D88" s="3" t="s">
        <v>24</v>
      </c>
      <c r="E88" s="3" t="s">
        <v>30</v>
      </c>
      <c r="F88" s="3" t="s">
        <v>25</v>
      </c>
      <c r="G88" s="3" t="s">
        <v>25</v>
      </c>
      <c r="H88" s="3" t="s">
        <v>25</v>
      </c>
      <c r="I88" s="6">
        <v>44621</v>
      </c>
      <c r="J88" s="4">
        <v>0</v>
      </c>
      <c r="K88" s="4">
        <v>0</v>
      </c>
      <c r="L88" s="4">
        <v>7.0000000000000007E-2</v>
      </c>
      <c r="M88" s="4">
        <v>7.0000000000000007E-2</v>
      </c>
      <c r="N88" s="4">
        <v>7.0000000000000007E-2</v>
      </c>
      <c r="O88" s="4">
        <v>7.0000000000000007E-2</v>
      </c>
      <c r="P88" s="4">
        <v>0</v>
      </c>
      <c r="Q88" s="3" t="s">
        <v>26</v>
      </c>
      <c r="R88" s="3">
        <v>0</v>
      </c>
      <c r="S88" s="3">
        <v>0</v>
      </c>
      <c r="T88" s="3">
        <v>39</v>
      </c>
      <c r="U88" s="3">
        <v>85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264.77</v>
      </c>
      <c r="X88" s="4">
        <f>IF(ISERROR(VLOOKUP($U$88,'TAR FIN'!$A$1:$O$88,15,0)),0,VLOOKUP($U$88,'TAR FIN'!$A$1:$O$88,15,0))</f>
        <v>90.16</v>
      </c>
      <c r="Y88" s="4"/>
      <c r="Z88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8" s="4">
        <f>('TE BE'!$AB$12+'TE BF'!$AB$12+'TE CVA'!$AB$12)*(1-CUSTOS!$M$35)</f>
        <v>81.973594265193938</v>
      </c>
      <c r="AB88" s="4">
        <f t="shared" si="6"/>
        <v>0</v>
      </c>
      <c r="AC88" s="4">
        <f>(L88-M88)*(W88+X88)+($W$116+$X$116-$W$88-$X$88)*(L88)</f>
        <v>16.5627</v>
      </c>
      <c r="AD88" s="4">
        <f t="shared" si="7"/>
        <v>0</v>
      </c>
      <c r="AE88" s="4">
        <f ca="1">(L88-M88)*(Z88+AA88)+($Z$116+$AA$116-$Z$88-$AA$88)*(L88)</f>
        <v>17.491200125340981</v>
      </c>
      <c r="AF88" s="3" t="s">
        <v>649</v>
      </c>
    </row>
    <row r="89" spans="1:32" ht="11.25" customHeight="1" x14ac:dyDescent="0.25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30</v>
      </c>
      <c r="F89" s="3" t="s">
        <v>25</v>
      </c>
      <c r="G89" s="3" t="s">
        <v>25</v>
      </c>
      <c r="H89" s="3" t="s">
        <v>25</v>
      </c>
      <c r="I89" s="6">
        <v>44652</v>
      </c>
      <c r="J89" s="4">
        <v>0</v>
      </c>
      <c r="K89" s="4">
        <v>0</v>
      </c>
      <c r="L89" s="4">
        <v>37.302</v>
      </c>
      <c r="M89" s="4">
        <v>37.302</v>
      </c>
      <c r="N89" s="4">
        <v>37.302</v>
      </c>
      <c r="O89" s="4">
        <v>37.302</v>
      </c>
      <c r="P89" s="4">
        <v>50</v>
      </c>
      <c r="Q89" s="3" t="s">
        <v>26</v>
      </c>
      <c r="R89" s="3">
        <v>0</v>
      </c>
      <c r="S89" s="3">
        <v>0</v>
      </c>
      <c r="T89" s="3">
        <v>39</v>
      </c>
      <c r="U89" s="3">
        <v>85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264.77</v>
      </c>
      <c r="X89" s="4">
        <f>IF(ISERROR(VLOOKUP($U$89,'TAR FIN'!$A$1:$O$88,15,0)),0,VLOOKUP($U$89,'TAR FIN'!$A$1:$O$88,15,0))</f>
        <v>90.16</v>
      </c>
      <c r="Y89" s="4"/>
      <c r="Z89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89" s="4">
        <f>('TE BE'!$AB$12+'TE BF'!$AB$12+'TE CVA'!$AB$12)*(1-CUSTOS!$M$35)</f>
        <v>81.973594265193938</v>
      </c>
      <c r="AB89" s="4">
        <f t="shared" si="6"/>
        <v>0</v>
      </c>
      <c r="AC89" s="4">
        <f>(L89-M89)*(W89+X89)+($W$116+$X$116-$W$89-$X$89)*(L89)</f>
        <v>8826.0262199999997</v>
      </c>
      <c r="AD89" s="4">
        <f t="shared" si="7"/>
        <v>0</v>
      </c>
      <c r="AE89" s="4">
        <f ca="1">(L89-M89)*(Z89+AA89)+($Z$116+$AA$116-$Z$89-$AA$89)*(L89)</f>
        <v>9320.8106725067028</v>
      </c>
      <c r="AF89" s="3" t="s">
        <v>649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30</v>
      </c>
      <c r="F90" s="3" t="s">
        <v>25</v>
      </c>
      <c r="G90" s="3" t="s">
        <v>25</v>
      </c>
      <c r="H90" s="3" t="s">
        <v>25</v>
      </c>
      <c r="I90" s="6">
        <v>44682</v>
      </c>
      <c r="J90" s="4">
        <v>0</v>
      </c>
      <c r="K90" s="4">
        <v>0</v>
      </c>
      <c r="L90" s="4">
        <v>38.965000000000003</v>
      </c>
      <c r="M90" s="4">
        <v>38.965000000000003</v>
      </c>
      <c r="N90" s="4">
        <v>38.965000000000003</v>
      </c>
      <c r="O90" s="4">
        <v>38.965000000000003</v>
      </c>
      <c r="P90" s="4">
        <v>97</v>
      </c>
      <c r="Q90" s="3" t="s">
        <v>26</v>
      </c>
      <c r="R90" s="3">
        <v>0</v>
      </c>
      <c r="S90" s="3">
        <v>0</v>
      </c>
      <c r="T90" s="3">
        <v>39</v>
      </c>
      <c r="U90" s="3">
        <v>85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264.77</v>
      </c>
      <c r="X90" s="4">
        <f>IF(ISERROR(VLOOKUP($U$90,'TAR FIN'!$A$1:$O$88,15,0)),0,VLOOKUP($U$90,'TAR FIN'!$A$1:$O$88,15,0))</f>
        <v>90.16</v>
      </c>
      <c r="Y90" s="4"/>
      <c r="Z90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0" s="4">
        <f>('TE BE'!$AB$12+'TE BF'!$AB$12+'TE CVA'!$AB$12)*(1-CUSTOS!$M$35)</f>
        <v>81.973594265193938</v>
      </c>
      <c r="AB90" s="4">
        <f t="shared" si="6"/>
        <v>0</v>
      </c>
      <c r="AC90" s="4">
        <f>(L90-M90)*(W90+X90)+($W$116+$X$116-$W$90-$X$90)*(L90)</f>
        <v>9219.5086499999998</v>
      </c>
      <c r="AD90" s="4">
        <f t="shared" si="7"/>
        <v>0</v>
      </c>
      <c r="AE90" s="4">
        <f ca="1">(L90-M90)*(Z90+AA90)+($Z$116+$AA$116-$Z$90-$AA$90)*(L90)</f>
        <v>9736.3516126273043</v>
      </c>
      <c r="AF90" s="3" t="s">
        <v>649</v>
      </c>
    </row>
    <row r="91" spans="1:32" ht="11.25" customHeight="1" x14ac:dyDescent="0.25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30</v>
      </c>
      <c r="F91" s="3" t="s">
        <v>25</v>
      </c>
      <c r="G91" s="3" t="s">
        <v>25</v>
      </c>
      <c r="H91" s="3" t="s">
        <v>25</v>
      </c>
      <c r="I91" s="6">
        <v>44713</v>
      </c>
      <c r="J91" s="4">
        <v>0</v>
      </c>
      <c r="K91" s="4">
        <v>0</v>
      </c>
      <c r="L91" s="4">
        <v>33.924999999999997</v>
      </c>
      <c r="M91" s="4">
        <v>33.924999999999997</v>
      </c>
      <c r="N91" s="4">
        <v>33.924999999999997</v>
      </c>
      <c r="O91" s="4">
        <v>33.924999999999997</v>
      </c>
      <c r="P91" s="4">
        <v>78</v>
      </c>
      <c r="Q91" s="3" t="s">
        <v>26</v>
      </c>
      <c r="R91" s="3">
        <v>0</v>
      </c>
      <c r="S91" s="3">
        <v>0</v>
      </c>
      <c r="T91" s="3">
        <v>39</v>
      </c>
      <c r="U91" s="3">
        <v>85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264.77</v>
      </c>
      <c r="X91" s="4">
        <f>IF(ISERROR(VLOOKUP($U$91,'TAR FIN'!$A$1:$O$88,15,0)),0,VLOOKUP($U$91,'TAR FIN'!$A$1:$O$88,15,0))</f>
        <v>90.16</v>
      </c>
      <c r="Y91" s="4"/>
      <c r="Z91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1" s="4">
        <f>('TE BE'!$AB$12+'TE BF'!$AB$12+'TE CVA'!$AB$12)*(1-CUSTOS!$M$35)</f>
        <v>81.973594265193938</v>
      </c>
      <c r="AB91" s="4">
        <f t="shared" si="6"/>
        <v>0</v>
      </c>
      <c r="AC91" s="4">
        <f>(L91-M91)*(W91+X91)+($W$116+$X$116-$W$91-$X$91)*(L91)</f>
        <v>8026.9942499999988</v>
      </c>
      <c r="AD91" s="4">
        <f t="shared" si="7"/>
        <v>0</v>
      </c>
      <c r="AE91" s="4">
        <f ca="1">(L91-M91)*(Z91+AA91)+($Z$116+$AA$116-$Z$91-$AA$91)*(L91)</f>
        <v>8476.9852036027514</v>
      </c>
      <c r="AF91" s="3" t="s">
        <v>649</v>
      </c>
    </row>
    <row r="92" spans="1:32" ht="11.25" customHeight="1" x14ac:dyDescent="0.25">
      <c r="A92" s="3" t="s">
        <v>27</v>
      </c>
      <c r="B92" s="3" t="s">
        <v>22</v>
      </c>
      <c r="C92" s="3" t="s">
        <v>23</v>
      </c>
      <c r="D92" s="3" t="s">
        <v>24</v>
      </c>
      <c r="E92" s="3" t="s">
        <v>30</v>
      </c>
      <c r="F92" s="3" t="s">
        <v>25</v>
      </c>
      <c r="G92" s="3" t="s">
        <v>25</v>
      </c>
      <c r="H92" s="3" t="s">
        <v>25</v>
      </c>
      <c r="I92" s="6">
        <v>44713</v>
      </c>
      <c r="J92" s="4">
        <v>0</v>
      </c>
      <c r="K92" s="4">
        <v>0</v>
      </c>
      <c r="L92" s="4">
        <v>0.02</v>
      </c>
      <c r="M92" s="4">
        <v>0.02</v>
      </c>
      <c r="N92" s="4">
        <v>0.02</v>
      </c>
      <c r="O92" s="4">
        <v>0.02</v>
      </c>
      <c r="P92" s="4">
        <v>0</v>
      </c>
      <c r="Q92" s="3" t="s">
        <v>26</v>
      </c>
      <c r="R92" s="3">
        <v>0</v>
      </c>
      <c r="S92" s="3">
        <v>0</v>
      </c>
      <c r="T92" s="3">
        <v>39</v>
      </c>
      <c r="U92" s="3">
        <v>85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264.77</v>
      </c>
      <c r="X92" s="4">
        <f>IF(ISERROR(VLOOKUP($U$92,'TAR FIN'!$A$1:$O$88,15,0)),0,VLOOKUP($U$92,'TAR FIN'!$A$1:$O$88,15,0))</f>
        <v>90.16</v>
      </c>
      <c r="Y92" s="4"/>
      <c r="Z92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2" s="4">
        <f>('TE BE'!$AB$12+'TE BF'!$AB$12+'TE CVA'!$AB$12)*(1-CUSTOS!$M$35)</f>
        <v>81.973594265193938</v>
      </c>
      <c r="AB92" s="4">
        <f t="shared" si="6"/>
        <v>0</v>
      </c>
      <c r="AC92" s="4">
        <f>(L92-M92)*(W92+X92)+($W$116+$X$116-$W$92-$X$92)*(L92)</f>
        <v>4.7321999999999997</v>
      </c>
      <c r="AD92" s="4">
        <f t="shared" si="7"/>
        <v>0</v>
      </c>
      <c r="AE92" s="4">
        <f ca="1">(L92-M92)*(Z92+AA92)+($Z$116+$AA$116-$Z$92-$AA$92)*(L92)</f>
        <v>4.9974857500974226</v>
      </c>
      <c r="AF92" s="3" t="s">
        <v>649</v>
      </c>
    </row>
    <row r="93" spans="1:32" ht="11.25" customHeight="1" x14ac:dyDescent="0.25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30</v>
      </c>
      <c r="F93" s="3" t="s">
        <v>25</v>
      </c>
      <c r="G93" s="3" t="s">
        <v>25</v>
      </c>
      <c r="H93" s="3" t="s">
        <v>25</v>
      </c>
      <c r="I93" s="6">
        <v>44743</v>
      </c>
      <c r="J93" s="4">
        <v>0</v>
      </c>
      <c r="K93" s="4">
        <v>0</v>
      </c>
      <c r="L93" s="4">
        <v>34.805</v>
      </c>
      <c r="M93" s="4">
        <v>34.805</v>
      </c>
      <c r="N93" s="4">
        <v>34.805</v>
      </c>
      <c r="O93" s="4">
        <v>34.805</v>
      </c>
      <c r="P93" s="4">
        <v>72</v>
      </c>
      <c r="Q93" s="3" t="s">
        <v>26</v>
      </c>
      <c r="R93" s="3">
        <v>0</v>
      </c>
      <c r="S93" s="3">
        <v>0</v>
      </c>
      <c r="T93" s="3">
        <v>39</v>
      </c>
      <c r="U93" s="3">
        <v>85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264.77</v>
      </c>
      <c r="X93" s="4">
        <f>IF(ISERROR(VLOOKUP($U$93,'TAR FIN'!$A$1:$O$88,15,0)),0,VLOOKUP($U$93,'TAR FIN'!$A$1:$O$88,15,0))</f>
        <v>90.16</v>
      </c>
      <c r="Y93" s="4"/>
      <c r="Z93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3" s="4">
        <f>('TE BE'!$AB$12+'TE BF'!$AB$12+'TE CVA'!$AB$12)*(1-CUSTOS!$M$35)</f>
        <v>81.973594265193938</v>
      </c>
      <c r="AB93" s="4">
        <f t="shared" si="6"/>
        <v>0</v>
      </c>
      <c r="AC93" s="4">
        <f>(L93-M93)*(W93+X93)+($W$116+$X$116-$W$93-$X$93)*(L93)</f>
        <v>8235.2110499999999</v>
      </c>
      <c r="AD93" s="4">
        <f t="shared" si="7"/>
        <v>0</v>
      </c>
      <c r="AE93" s="4">
        <f ca="1">(L93-M93)*(Z93+AA93)+($Z$116+$AA$116-$Z$93-$AA$93)*(L93)</f>
        <v>8696.8745766070388</v>
      </c>
      <c r="AF93" s="3" t="s">
        <v>649</v>
      </c>
    </row>
    <row r="94" spans="1:32" ht="11.25" customHeight="1" x14ac:dyDescent="0.25">
      <c r="A94" s="3" t="s">
        <v>27</v>
      </c>
      <c r="B94" s="3" t="s">
        <v>22</v>
      </c>
      <c r="C94" s="3" t="s">
        <v>23</v>
      </c>
      <c r="D94" s="3" t="s">
        <v>24</v>
      </c>
      <c r="E94" s="3" t="s">
        <v>30</v>
      </c>
      <c r="F94" s="3" t="s">
        <v>25</v>
      </c>
      <c r="G94" s="3" t="s">
        <v>25</v>
      </c>
      <c r="H94" s="3" t="s">
        <v>25</v>
      </c>
      <c r="I94" s="6">
        <v>44743</v>
      </c>
      <c r="J94" s="4">
        <v>0</v>
      </c>
      <c r="K94" s="4">
        <v>0</v>
      </c>
      <c r="L94" s="4">
        <v>0.14000000000000001</v>
      </c>
      <c r="M94" s="4">
        <v>0.14000000000000001</v>
      </c>
      <c r="N94" s="4">
        <v>0.14000000000000001</v>
      </c>
      <c r="O94" s="4">
        <v>0.14000000000000001</v>
      </c>
      <c r="P94" s="4">
        <v>0</v>
      </c>
      <c r="Q94" s="3" t="s">
        <v>26</v>
      </c>
      <c r="R94" s="3">
        <v>0</v>
      </c>
      <c r="S94" s="3">
        <v>0</v>
      </c>
      <c r="T94" s="3">
        <v>39</v>
      </c>
      <c r="U94" s="3">
        <v>85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264.77</v>
      </c>
      <c r="X94" s="4">
        <f>IF(ISERROR(VLOOKUP($U$94,'TAR FIN'!$A$1:$O$88,15,0)),0,VLOOKUP($U$94,'TAR FIN'!$A$1:$O$88,15,0))</f>
        <v>90.16</v>
      </c>
      <c r="Y94" s="4"/>
      <c r="Z94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4" s="4">
        <f>('TE BE'!$AB$12+'TE BF'!$AB$12+'TE CVA'!$AB$12)*(1-CUSTOS!$M$35)</f>
        <v>81.973594265193938</v>
      </c>
      <c r="AB94" s="4">
        <f t="shared" si="6"/>
        <v>0</v>
      </c>
      <c r="AC94" s="4">
        <f>(L94-M94)*(W94+X94)+($W$116+$X$116-$W$94-$X$94)*(L94)</f>
        <v>33.125399999999999</v>
      </c>
      <c r="AD94" s="4">
        <f t="shared" si="7"/>
        <v>0</v>
      </c>
      <c r="AE94" s="4">
        <f ca="1">(L94-M94)*(Z94+AA94)+($Z$116+$AA$116-$Z$94-$AA$94)*(L94)</f>
        <v>34.982400250681962</v>
      </c>
      <c r="AF94" s="3" t="s">
        <v>649</v>
      </c>
    </row>
    <row r="95" spans="1:32" ht="11.25" customHeight="1" x14ac:dyDescent="0.25">
      <c r="A95" s="3" t="s">
        <v>55</v>
      </c>
      <c r="B95" s="3" t="s">
        <v>22</v>
      </c>
      <c r="C95" s="3" t="s">
        <v>23</v>
      </c>
      <c r="D95" s="3" t="s">
        <v>24</v>
      </c>
      <c r="E95" s="3" t="s">
        <v>30</v>
      </c>
      <c r="F95" s="3" t="s">
        <v>25</v>
      </c>
      <c r="G95" s="3" t="s">
        <v>25</v>
      </c>
      <c r="H95" s="3" t="s">
        <v>25</v>
      </c>
      <c r="I95" s="6">
        <v>44774</v>
      </c>
      <c r="J95" s="4">
        <v>0</v>
      </c>
      <c r="K95" s="4">
        <v>0</v>
      </c>
      <c r="L95" s="4">
        <v>34.805</v>
      </c>
      <c r="M95" s="4">
        <v>34.805</v>
      </c>
      <c r="N95" s="4">
        <v>34.805</v>
      </c>
      <c r="O95" s="4">
        <v>34.805</v>
      </c>
      <c r="P95" s="4">
        <v>72</v>
      </c>
      <c r="Q95" s="3" t="s">
        <v>26</v>
      </c>
      <c r="R95" s="3">
        <v>0</v>
      </c>
      <c r="S95" s="3">
        <v>0</v>
      </c>
      <c r="T95" s="3">
        <v>39</v>
      </c>
      <c r="U95" s="3">
        <v>85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264.77</v>
      </c>
      <c r="X95" s="4">
        <f>IF(ISERROR(VLOOKUP($U$95,'TAR FIN'!$A$1:$O$88,15,0)),0,VLOOKUP($U$95,'TAR FIN'!$A$1:$O$88,15,0))</f>
        <v>90.16</v>
      </c>
      <c r="Y95" s="4"/>
      <c r="Z95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5" s="4">
        <f>('TE BE'!$AB$12+'TE BF'!$AB$12+'TE CVA'!$AB$12)*(1-CUSTOS!$M$35)</f>
        <v>81.973594265193938</v>
      </c>
      <c r="AB95" s="4">
        <f t="shared" si="6"/>
        <v>0</v>
      </c>
      <c r="AC95" s="4">
        <f>(L95-M95)*(W95+X95)+($W$116+$X$116-$W$95-$X$95)*(L95)</f>
        <v>8235.2110499999999</v>
      </c>
      <c r="AD95" s="4">
        <f t="shared" si="7"/>
        <v>0</v>
      </c>
      <c r="AE95" s="4">
        <f ca="1">(L95-M95)*(Z95+AA95)+($Z$116+$AA$116-$Z$95-$AA$95)*(L95)</f>
        <v>8696.8745766070388</v>
      </c>
      <c r="AF95" s="3" t="s">
        <v>649</v>
      </c>
    </row>
    <row r="96" spans="1:32" ht="11.25" customHeight="1" x14ac:dyDescent="0.25">
      <c r="A96" s="3" t="s">
        <v>55</v>
      </c>
      <c r="B96" s="3" t="s">
        <v>22</v>
      </c>
      <c r="C96" s="3" t="s">
        <v>23</v>
      </c>
      <c r="D96" s="3" t="s">
        <v>24</v>
      </c>
      <c r="E96" s="3" t="s">
        <v>30</v>
      </c>
      <c r="F96" s="3" t="s">
        <v>25</v>
      </c>
      <c r="G96" s="3" t="s">
        <v>25</v>
      </c>
      <c r="H96" s="3" t="s">
        <v>25</v>
      </c>
      <c r="I96" s="6">
        <v>44774</v>
      </c>
      <c r="J96" s="4">
        <v>0</v>
      </c>
      <c r="K96" s="4">
        <v>0</v>
      </c>
      <c r="L96" s="4">
        <v>0.14000000000000001</v>
      </c>
      <c r="M96" s="4">
        <v>0.14000000000000001</v>
      </c>
      <c r="N96" s="4">
        <v>0.14000000000000001</v>
      </c>
      <c r="O96" s="4">
        <v>0.14000000000000001</v>
      </c>
      <c r="P96" s="4">
        <v>0</v>
      </c>
      <c r="Q96" s="3" t="s">
        <v>26</v>
      </c>
      <c r="R96" s="3">
        <v>0</v>
      </c>
      <c r="S96" s="3">
        <v>0</v>
      </c>
      <c r="T96" s="3">
        <v>39</v>
      </c>
      <c r="U96" s="3">
        <v>85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264.77</v>
      </c>
      <c r="X96" s="4">
        <f>IF(ISERROR(VLOOKUP($U$96,'TAR FIN'!$A$1:$O$88,15,0)),0,VLOOKUP($U$96,'TAR FIN'!$A$1:$O$88,15,0))</f>
        <v>90.16</v>
      </c>
      <c r="Y96" s="4"/>
      <c r="Z96" s="4">
        <f ca="1">('TUSD BE'!$AM$22+'TUSD BF'!$AM$22+'TUSD CVA'!$AM$22-('TUSD BE'!$P$22+'TUSD BF'!$P$22+'TUSD CVA'!$P$22)-('TUSD BE'!$Q$22+'TUSD BF'!$Q$22+'TUSD CVA'!$Q$22)-('TUSD BE'!$R$22+'TUSD BF'!$R$22+'TUSD CVA'!$R$22))*(1-CUSTOS!$M$35)</f>
        <v>292.83783699211273</v>
      </c>
      <c r="AA96" s="4">
        <f>('TE BE'!$AB$12+'TE BF'!$AB$12+'TE CVA'!$AB$12)*(1-CUSTOS!$M$35)</f>
        <v>81.973594265193938</v>
      </c>
      <c r="AB96" s="4">
        <f t="shared" si="6"/>
        <v>0</v>
      </c>
      <c r="AC96" s="4">
        <f>(L96-M96)*(W96+X96)+($W$116+$X$116-$W$96-$X$96)*(L96)</f>
        <v>33.125399999999999</v>
      </c>
      <c r="AD96" s="4">
        <f t="shared" si="7"/>
        <v>0</v>
      </c>
      <c r="AE96" s="4">
        <f ca="1">(L96-M96)*(Z96+AA96)+($Z$116+$AA$116-$Z$96-$AA$96)*(L96)</f>
        <v>34.982400250681962</v>
      </c>
      <c r="AF96" s="3" t="s">
        <v>649</v>
      </c>
    </row>
    <row r="97" spans="1:32" ht="11.25" customHeight="1" x14ac:dyDescent="0.25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31</v>
      </c>
      <c r="F97" s="3" t="s">
        <v>25</v>
      </c>
      <c r="G97" s="3" t="s">
        <v>25</v>
      </c>
      <c r="H97" s="3" t="s">
        <v>25</v>
      </c>
      <c r="I97" s="6">
        <v>44440</v>
      </c>
      <c r="J97" s="4">
        <v>0</v>
      </c>
      <c r="K97" s="4">
        <v>0</v>
      </c>
      <c r="L97" s="4">
        <v>37.183</v>
      </c>
      <c r="M97" s="4">
        <v>37.183</v>
      </c>
      <c r="N97" s="4">
        <v>37.183</v>
      </c>
      <c r="O97" s="4">
        <v>37.183</v>
      </c>
      <c r="P97" s="4">
        <v>237</v>
      </c>
      <c r="Q97" s="3" t="s">
        <v>26</v>
      </c>
      <c r="R97" s="3">
        <v>0</v>
      </c>
      <c r="S97" s="3">
        <v>0</v>
      </c>
      <c r="T97" s="3">
        <v>36</v>
      </c>
      <c r="U97" s="3">
        <v>86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397.15</v>
      </c>
      <c r="X97" s="4">
        <f>IF(ISERROR(VLOOKUP($U$97,'TAR FIN'!$A$1:$O$88,15,0)),0,VLOOKUP($U$97,'TAR FIN'!$A$1:$O$88,15,0))</f>
        <v>135.24</v>
      </c>
      <c r="Y97" s="4"/>
      <c r="Z97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97" s="4">
        <f>('TE BE'!$AB$13+'TE BF'!$AB$13+'TE CVA'!$AB$13)*(1-CUSTOS!$M$36)</f>
        <v>122.96039139779091</v>
      </c>
      <c r="AB97" s="4">
        <f t="shared" si="6"/>
        <v>0</v>
      </c>
      <c r="AC97" s="4">
        <f>(L97-M97)*(W97+X97)+($W$116+$X$116-$W$97-$X$97)*(L97)</f>
        <v>2199.3744499999993</v>
      </c>
      <c r="AD97" s="4">
        <f t="shared" si="7"/>
        <v>0</v>
      </c>
      <c r="AE97" s="4">
        <f ca="1">(L97-M97)*(Z97+AA97)+($Z$116+$AA$116-$Z$97-$AA$97)*(L97)</f>
        <v>2322.768908073404</v>
      </c>
      <c r="AF97" s="3" t="s">
        <v>649</v>
      </c>
    </row>
    <row r="98" spans="1:32" ht="11.25" customHeight="1" x14ac:dyDescent="0.25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31</v>
      </c>
      <c r="F98" s="3" t="s">
        <v>25</v>
      </c>
      <c r="G98" s="3" t="s">
        <v>25</v>
      </c>
      <c r="H98" s="3" t="s">
        <v>25</v>
      </c>
      <c r="I98" s="6">
        <v>44470</v>
      </c>
      <c r="J98" s="4">
        <v>0</v>
      </c>
      <c r="K98" s="4">
        <v>0</v>
      </c>
      <c r="L98" s="4">
        <v>36.628</v>
      </c>
      <c r="M98" s="4">
        <v>36.628</v>
      </c>
      <c r="N98" s="4">
        <v>36.628</v>
      </c>
      <c r="O98" s="4">
        <v>36.628</v>
      </c>
      <c r="P98" s="4">
        <v>268</v>
      </c>
      <c r="Q98" s="3" t="s">
        <v>26</v>
      </c>
      <c r="R98" s="3">
        <v>0</v>
      </c>
      <c r="S98" s="3">
        <v>0</v>
      </c>
      <c r="T98" s="3">
        <v>36</v>
      </c>
      <c r="U98" s="3">
        <v>86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397.15</v>
      </c>
      <c r="X98" s="4">
        <f>IF(ISERROR(VLOOKUP($U$98,'TAR FIN'!$A$1:$O$88,15,0)),0,VLOOKUP($U$98,'TAR FIN'!$A$1:$O$88,15,0))</f>
        <v>135.24</v>
      </c>
      <c r="Y98" s="4"/>
      <c r="Z98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98" s="4">
        <f>('TE BE'!$AB$13+'TE BF'!$AB$13+'TE CVA'!$AB$13)*(1-CUSTOS!$M$36)</f>
        <v>122.96039139779091</v>
      </c>
      <c r="AB98" s="4">
        <f t="shared" si="6"/>
        <v>0</v>
      </c>
      <c r="AC98" s="4">
        <f>(L98-M98)*(W98+X98)+($W$116+$X$116-$W$98-$X$98)*(L98)</f>
        <v>2166.5461999999993</v>
      </c>
      <c r="AD98" s="4">
        <f t="shared" si="7"/>
        <v>0</v>
      </c>
      <c r="AE98" s="4">
        <f ca="1">(L98-M98)*(Z98+AA98)+($Z$116+$AA$116-$Z$98-$AA$98)*(L98)</f>
        <v>2288.0988506821031</v>
      </c>
      <c r="AF98" s="3" t="s">
        <v>649</v>
      </c>
    </row>
    <row r="99" spans="1:32" ht="11.25" customHeight="1" x14ac:dyDescent="0.25">
      <c r="A99" s="3" t="s">
        <v>27</v>
      </c>
      <c r="B99" s="3" t="s">
        <v>22</v>
      </c>
      <c r="C99" s="3" t="s">
        <v>23</v>
      </c>
      <c r="D99" s="3" t="s">
        <v>24</v>
      </c>
      <c r="E99" s="3" t="s">
        <v>31</v>
      </c>
      <c r="F99" s="3" t="s">
        <v>25</v>
      </c>
      <c r="G99" s="3" t="s">
        <v>25</v>
      </c>
      <c r="H99" s="3" t="s">
        <v>25</v>
      </c>
      <c r="I99" s="6">
        <v>44470</v>
      </c>
      <c r="J99" s="4">
        <v>0</v>
      </c>
      <c r="K99" s="4">
        <v>0</v>
      </c>
      <c r="L99" s="4">
        <v>0.10199999999999999</v>
      </c>
      <c r="M99" s="4">
        <v>0.10199999999999999</v>
      </c>
      <c r="N99" s="4">
        <v>0.10199999999999999</v>
      </c>
      <c r="O99" s="4">
        <v>0.10199999999999999</v>
      </c>
      <c r="P99" s="4">
        <v>0</v>
      </c>
      <c r="Q99" s="3" t="s">
        <v>26</v>
      </c>
      <c r="R99" s="3">
        <v>0</v>
      </c>
      <c r="S99" s="3">
        <v>0</v>
      </c>
      <c r="T99" s="3">
        <v>36</v>
      </c>
      <c r="U99" s="3">
        <v>86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397.15</v>
      </c>
      <c r="X99" s="4">
        <f>IF(ISERROR(VLOOKUP($U$99,'TAR FIN'!$A$1:$O$88,15,0)),0,VLOOKUP($U$99,'TAR FIN'!$A$1:$O$88,15,0))</f>
        <v>135.24</v>
      </c>
      <c r="Y99" s="4"/>
      <c r="Z99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99" s="4">
        <f>('TE BE'!$AB$13+'TE BF'!$AB$13+'TE CVA'!$AB$13)*(1-CUSTOS!$M$36)</f>
        <v>122.96039139779091</v>
      </c>
      <c r="AB99" s="4">
        <f t="shared" si="6"/>
        <v>0</v>
      </c>
      <c r="AC99" s="4">
        <f>(L99-M99)*(W99+X99)+($W$116+$X$116-$W$99-$X$99)*(L99)</f>
        <v>6.033299999999997</v>
      </c>
      <c r="AD99" s="4">
        <f t="shared" si="7"/>
        <v>0</v>
      </c>
      <c r="AE99" s="4">
        <f ca="1">(L99-M99)*(Z99+AA99)+($Z$116+$AA$116-$Z$99-$AA$99)*(L99)</f>
        <v>6.3717943313742085</v>
      </c>
      <c r="AF99" s="3" t="s">
        <v>649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31</v>
      </c>
      <c r="F100" s="3" t="s">
        <v>25</v>
      </c>
      <c r="G100" s="3" t="s">
        <v>25</v>
      </c>
      <c r="H100" s="3" t="s">
        <v>25</v>
      </c>
      <c r="I100" s="6">
        <v>44501</v>
      </c>
      <c r="J100" s="4">
        <v>0</v>
      </c>
      <c r="K100" s="4">
        <v>0</v>
      </c>
      <c r="L100" s="4">
        <v>38.396000000000001</v>
      </c>
      <c r="M100" s="4">
        <v>38.396000000000001</v>
      </c>
      <c r="N100" s="4">
        <v>38.396000000000001</v>
      </c>
      <c r="O100" s="4">
        <v>38.396000000000001</v>
      </c>
      <c r="P100" s="4">
        <v>266</v>
      </c>
      <c r="Q100" s="3" t="s">
        <v>26</v>
      </c>
      <c r="R100" s="3">
        <v>0</v>
      </c>
      <c r="S100" s="3">
        <v>0</v>
      </c>
      <c r="T100" s="3">
        <v>36</v>
      </c>
      <c r="U100" s="3">
        <v>86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397.15</v>
      </c>
      <c r="X100" s="4">
        <f>IF(ISERROR(VLOOKUP($U$100,'TAR FIN'!$A$1:$O$88,15,0)),0,VLOOKUP($U$100,'TAR FIN'!$A$1:$O$88,15,0))</f>
        <v>135.24</v>
      </c>
      <c r="Y100" s="4"/>
      <c r="Z100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0" s="4">
        <f>('TE BE'!$AB$13+'TE BF'!$AB$13+'TE CVA'!$AB$13)*(1-CUSTOS!$M$36)</f>
        <v>122.96039139779091</v>
      </c>
      <c r="AB100" s="4">
        <f t="shared" si="6"/>
        <v>0</v>
      </c>
      <c r="AC100" s="4">
        <f>(L100-M100)*(W100+X100)+($W$116+$X$116-$W$100-$X$100)*(L100)</f>
        <v>2271.123399999999</v>
      </c>
      <c r="AD100" s="4">
        <f t="shared" si="7"/>
        <v>0</v>
      </c>
      <c r="AE100" s="4">
        <f ca="1">(L100-M100)*(Z100+AA100)+($Z$116+$AA$116-$Z$100-$AA$100)*(L100)</f>
        <v>2398.5432857592564</v>
      </c>
      <c r="AF100" s="3" t="s">
        <v>649</v>
      </c>
    </row>
    <row r="101" spans="1:32" ht="11.25" customHeight="1" x14ac:dyDescent="0.25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31</v>
      </c>
      <c r="F101" s="3" t="s">
        <v>25</v>
      </c>
      <c r="G101" s="3" t="s">
        <v>25</v>
      </c>
      <c r="H101" s="3" t="s">
        <v>25</v>
      </c>
      <c r="I101" s="6">
        <v>44501</v>
      </c>
      <c r="J101" s="4">
        <v>0</v>
      </c>
      <c r="K101" s="4">
        <v>0</v>
      </c>
      <c r="L101" s="4">
        <v>-0.12</v>
      </c>
      <c r="M101" s="4">
        <v>-0.12</v>
      </c>
      <c r="N101" s="4">
        <v>-0.12</v>
      </c>
      <c r="O101" s="4">
        <v>-0.12</v>
      </c>
      <c r="P101" s="4">
        <v>0</v>
      </c>
      <c r="Q101" s="3" t="s">
        <v>26</v>
      </c>
      <c r="R101" s="3">
        <v>0</v>
      </c>
      <c r="S101" s="3">
        <v>0</v>
      </c>
      <c r="T101" s="3">
        <v>36</v>
      </c>
      <c r="U101" s="3">
        <v>86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397.15</v>
      </c>
      <c r="X101" s="4">
        <f>IF(ISERROR(VLOOKUP($U$101,'TAR FIN'!$A$1:$O$88,15,0)),0,VLOOKUP($U$101,'TAR FIN'!$A$1:$O$88,15,0))</f>
        <v>135.24</v>
      </c>
      <c r="Y101" s="4"/>
      <c r="Z101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1" s="4">
        <f>('TE BE'!$AB$13+'TE BF'!$AB$13+'TE CVA'!$AB$13)*(1-CUSTOS!$M$36)</f>
        <v>122.96039139779091</v>
      </c>
      <c r="AB101" s="4">
        <f t="shared" si="6"/>
        <v>0</v>
      </c>
      <c r="AC101" s="4">
        <f>(L101-M101)*(W101+X101)+($W$116+$X$116-$W$101-$X$101)*(L101)</f>
        <v>-7.0979999999999972</v>
      </c>
      <c r="AD101" s="4">
        <f t="shared" si="7"/>
        <v>0</v>
      </c>
      <c r="AE101" s="4">
        <f ca="1">(L101-M101)*(Z101+AA101)+($Z$116+$AA$116-$Z$101-$AA$101)*(L101)</f>
        <v>-7.4962286251461281</v>
      </c>
      <c r="AF101" s="3" t="s">
        <v>649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31</v>
      </c>
      <c r="F102" s="3" t="s">
        <v>25</v>
      </c>
      <c r="G102" s="3" t="s">
        <v>25</v>
      </c>
      <c r="H102" s="3" t="s">
        <v>25</v>
      </c>
      <c r="I102" s="6">
        <v>44531</v>
      </c>
      <c r="J102" s="4">
        <v>0</v>
      </c>
      <c r="K102" s="4">
        <v>0</v>
      </c>
      <c r="L102" s="4">
        <v>40.651000000000003</v>
      </c>
      <c r="M102" s="4">
        <v>40.651000000000003</v>
      </c>
      <c r="N102" s="4">
        <v>40.651000000000003</v>
      </c>
      <c r="O102" s="4">
        <v>40.651000000000003</v>
      </c>
      <c r="P102" s="4">
        <v>254</v>
      </c>
      <c r="Q102" s="3" t="s">
        <v>26</v>
      </c>
      <c r="R102" s="3">
        <v>0</v>
      </c>
      <c r="S102" s="3">
        <v>0</v>
      </c>
      <c r="T102" s="3">
        <v>36</v>
      </c>
      <c r="U102" s="3">
        <v>86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397.15</v>
      </c>
      <c r="X102" s="4">
        <f>IF(ISERROR(VLOOKUP($U$102,'TAR FIN'!$A$1:$O$88,15,0)),0,VLOOKUP($U$102,'TAR FIN'!$A$1:$O$88,15,0))</f>
        <v>135.24</v>
      </c>
      <c r="Y102" s="4"/>
      <c r="Z102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2" s="4">
        <f>('TE BE'!$AB$13+'TE BF'!$AB$13+'TE CVA'!$AB$13)*(1-CUSTOS!$M$36)</f>
        <v>122.96039139779091</v>
      </c>
      <c r="AB102" s="4">
        <f t="shared" si="6"/>
        <v>0</v>
      </c>
      <c r="AC102" s="4">
        <f>(L102-M102)*(W102+X102)+($W$116+$X$116-$W$102-$X$102)*(L102)</f>
        <v>2404.5066499999994</v>
      </c>
      <c r="AD102" s="4">
        <f t="shared" si="7"/>
        <v>0</v>
      </c>
      <c r="AE102" s="4">
        <f ca="1">(L102-M102)*(Z102+AA102)+($Z$116+$AA$116-$Z$102-$AA$102)*(L102)</f>
        <v>2539.4099153401276</v>
      </c>
      <c r="AF102" s="3" t="s">
        <v>649</v>
      </c>
    </row>
    <row r="103" spans="1:32" ht="11.25" customHeight="1" x14ac:dyDescent="0.25">
      <c r="A103" s="3" t="s">
        <v>27</v>
      </c>
      <c r="B103" s="3" t="s">
        <v>22</v>
      </c>
      <c r="C103" s="3" t="s">
        <v>23</v>
      </c>
      <c r="D103" s="3" t="s">
        <v>24</v>
      </c>
      <c r="E103" s="3" t="s">
        <v>31</v>
      </c>
      <c r="F103" s="3" t="s">
        <v>25</v>
      </c>
      <c r="G103" s="3" t="s">
        <v>25</v>
      </c>
      <c r="H103" s="3" t="s">
        <v>25</v>
      </c>
      <c r="I103" s="6">
        <v>44531</v>
      </c>
      <c r="J103" s="4">
        <v>0</v>
      </c>
      <c r="K103" s="4">
        <v>0</v>
      </c>
      <c r="L103" s="4">
        <v>-0.12</v>
      </c>
      <c r="M103" s="4">
        <v>-0.12</v>
      </c>
      <c r="N103" s="4">
        <v>-0.12</v>
      </c>
      <c r="O103" s="4">
        <v>-0.12</v>
      </c>
      <c r="P103" s="4">
        <v>0</v>
      </c>
      <c r="Q103" s="3" t="s">
        <v>26</v>
      </c>
      <c r="R103" s="3">
        <v>0</v>
      </c>
      <c r="S103" s="3">
        <v>0</v>
      </c>
      <c r="T103" s="3">
        <v>36</v>
      </c>
      <c r="U103" s="3">
        <v>86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397.15</v>
      </c>
      <c r="X103" s="4">
        <f>IF(ISERROR(VLOOKUP($U$103,'TAR FIN'!$A$1:$O$88,15,0)),0,VLOOKUP($U$103,'TAR FIN'!$A$1:$O$88,15,0))</f>
        <v>135.24</v>
      </c>
      <c r="Y103" s="4"/>
      <c r="Z103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3" s="4">
        <f>('TE BE'!$AB$13+'TE BF'!$AB$13+'TE CVA'!$AB$13)*(1-CUSTOS!$M$36)</f>
        <v>122.96039139779091</v>
      </c>
      <c r="AB103" s="4">
        <f t="shared" si="6"/>
        <v>0</v>
      </c>
      <c r="AC103" s="4">
        <f>(L103-M103)*(W103+X103)+($W$116+$X$116-$W$103-$X$103)*(L103)</f>
        <v>-7.0979999999999972</v>
      </c>
      <c r="AD103" s="4">
        <f t="shared" si="7"/>
        <v>0</v>
      </c>
      <c r="AE103" s="4">
        <f ca="1">(L103-M103)*(Z103+AA103)+($Z$116+$AA$116-$Z$103-$AA$103)*(L103)</f>
        <v>-7.4962286251461281</v>
      </c>
      <c r="AF103" s="3" t="s">
        <v>649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31</v>
      </c>
      <c r="F104" s="3" t="s">
        <v>25</v>
      </c>
      <c r="G104" s="3" t="s">
        <v>25</v>
      </c>
      <c r="H104" s="3" t="s">
        <v>25</v>
      </c>
      <c r="I104" s="6">
        <v>44562</v>
      </c>
      <c r="J104" s="4">
        <v>0</v>
      </c>
      <c r="K104" s="4">
        <v>0</v>
      </c>
      <c r="L104" s="4">
        <v>46.091999999999999</v>
      </c>
      <c r="M104" s="4">
        <v>46.091999999999999</v>
      </c>
      <c r="N104" s="4">
        <v>46.091999999999999</v>
      </c>
      <c r="O104" s="4">
        <v>46.091999999999999</v>
      </c>
      <c r="P104" s="4">
        <v>201</v>
      </c>
      <c r="Q104" s="3" t="s">
        <v>26</v>
      </c>
      <c r="R104" s="3">
        <v>0</v>
      </c>
      <c r="S104" s="3">
        <v>0</v>
      </c>
      <c r="T104" s="3">
        <v>36</v>
      </c>
      <c r="U104" s="3">
        <v>86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397.15</v>
      </c>
      <c r="X104" s="4">
        <f>IF(ISERROR(VLOOKUP($U$104,'TAR FIN'!$A$1:$O$88,15,0)),0,VLOOKUP($U$104,'TAR FIN'!$A$1:$O$88,15,0))</f>
        <v>135.24</v>
      </c>
      <c r="Y104" s="4"/>
      <c r="Z104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4" s="4">
        <f>('TE BE'!$AB$13+'TE BF'!$AB$13+'TE CVA'!$AB$13)*(1-CUSTOS!$M$36)</f>
        <v>122.96039139779091</v>
      </c>
      <c r="AB104" s="4">
        <f t="shared" si="6"/>
        <v>0</v>
      </c>
      <c r="AC104" s="4">
        <f>(L104-M104)*(W104+X104)+($W$116+$X$116-$W$104-$X$104)*(L104)</f>
        <v>2726.3417999999988</v>
      </c>
      <c r="AD104" s="4">
        <f t="shared" si="7"/>
        <v>0</v>
      </c>
      <c r="AE104" s="4">
        <f ca="1">(L104-M104)*(Z104+AA104)+($Z$116+$AA$116-$Z$104-$AA$104)*(L104)</f>
        <v>2879.3014149186279</v>
      </c>
      <c r="AF104" s="3" t="s">
        <v>649</v>
      </c>
    </row>
    <row r="105" spans="1:32" ht="11.25" customHeight="1" x14ac:dyDescent="0.25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31</v>
      </c>
      <c r="F105" s="3" t="s">
        <v>25</v>
      </c>
      <c r="G105" s="3" t="s">
        <v>25</v>
      </c>
      <c r="H105" s="3" t="s">
        <v>25</v>
      </c>
      <c r="I105" s="6">
        <v>44593</v>
      </c>
      <c r="J105" s="4">
        <v>0</v>
      </c>
      <c r="K105" s="4">
        <v>0</v>
      </c>
      <c r="L105" s="4">
        <v>45.088000000000001</v>
      </c>
      <c r="M105" s="4">
        <v>45.088000000000001</v>
      </c>
      <c r="N105" s="4">
        <v>45.088000000000001</v>
      </c>
      <c r="O105" s="4">
        <v>45.088000000000001</v>
      </c>
      <c r="P105" s="4">
        <v>218</v>
      </c>
      <c r="Q105" s="3" t="s">
        <v>26</v>
      </c>
      <c r="R105" s="3">
        <v>0</v>
      </c>
      <c r="S105" s="3">
        <v>0</v>
      </c>
      <c r="T105" s="3">
        <v>36</v>
      </c>
      <c r="U105" s="3">
        <v>86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397.15</v>
      </c>
      <c r="X105" s="4">
        <f>IF(ISERROR(VLOOKUP($U$105,'TAR FIN'!$A$1:$O$88,15,0)),0,VLOOKUP($U$105,'TAR FIN'!$A$1:$O$88,15,0))</f>
        <v>135.24</v>
      </c>
      <c r="Y105" s="4"/>
      <c r="Z105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5" s="4">
        <f>('TE BE'!$AB$13+'TE BF'!$AB$13+'TE CVA'!$AB$13)*(1-CUSTOS!$M$36)</f>
        <v>122.96039139779091</v>
      </c>
      <c r="AB105" s="4">
        <f t="shared" si="6"/>
        <v>0</v>
      </c>
      <c r="AC105" s="4">
        <f>(L105-M105)*(W105+X105)+($W$116+$X$116-$W$105-$X$105)*(L105)</f>
        <v>2666.955199999999</v>
      </c>
      <c r="AD105" s="4">
        <f t="shared" si="7"/>
        <v>0</v>
      </c>
      <c r="AE105" s="4">
        <f ca="1">(L105-M105)*(Z105+AA105)+($Z$116+$AA$116-$Z$105-$AA$105)*(L105)</f>
        <v>2816.5829687549053</v>
      </c>
      <c r="AF105" s="3" t="s">
        <v>649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31</v>
      </c>
      <c r="F106" s="3" t="s">
        <v>25</v>
      </c>
      <c r="G106" s="3" t="s">
        <v>25</v>
      </c>
      <c r="H106" s="3" t="s">
        <v>25</v>
      </c>
      <c r="I106" s="6">
        <v>44621</v>
      </c>
      <c r="J106" s="4">
        <v>0</v>
      </c>
      <c r="K106" s="4">
        <v>0</v>
      </c>
      <c r="L106" s="4">
        <v>44.905999999999999</v>
      </c>
      <c r="M106" s="4">
        <v>44.905999999999999</v>
      </c>
      <c r="N106" s="4">
        <v>44.905999999999999</v>
      </c>
      <c r="O106" s="4">
        <v>44.905999999999999</v>
      </c>
      <c r="P106" s="4">
        <v>249</v>
      </c>
      <c r="Q106" s="3" t="s">
        <v>26</v>
      </c>
      <c r="R106" s="3">
        <v>0</v>
      </c>
      <c r="S106" s="3">
        <v>0</v>
      </c>
      <c r="T106" s="3">
        <v>36</v>
      </c>
      <c r="U106" s="3">
        <v>86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397.15</v>
      </c>
      <c r="X106" s="4">
        <f>IF(ISERROR(VLOOKUP($U$106,'TAR FIN'!$A$1:$O$88,15,0)),0,VLOOKUP($U$106,'TAR FIN'!$A$1:$O$88,15,0))</f>
        <v>135.24</v>
      </c>
      <c r="Y106" s="4"/>
      <c r="Z106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6" s="4">
        <f>('TE BE'!$AB$13+'TE BF'!$AB$13+'TE CVA'!$AB$13)*(1-CUSTOS!$M$36)</f>
        <v>122.96039139779091</v>
      </c>
      <c r="AB106" s="4">
        <f t="shared" si="6"/>
        <v>0</v>
      </c>
      <c r="AC106" s="4">
        <f>(L106-M106)*(W106+X106)+($W$116+$X$116-$W$106-$X$106)*(L106)</f>
        <v>2656.1898999999989</v>
      </c>
      <c r="AD106" s="4">
        <f t="shared" si="7"/>
        <v>0</v>
      </c>
      <c r="AE106" s="4">
        <f ca="1">(L106-M106)*(Z106+AA106)+($Z$116+$AA$116-$Z$106-$AA$106)*(L106)</f>
        <v>2805.2136886734338</v>
      </c>
      <c r="AF106" s="3" t="s">
        <v>649</v>
      </c>
    </row>
    <row r="107" spans="1:32" ht="11.25" customHeight="1" x14ac:dyDescent="0.25">
      <c r="A107" s="3" t="s">
        <v>27</v>
      </c>
      <c r="B107" s="3" t="s">
        <v>22</v>
      </c>
      <c r="C107" s="3" t="s">
        <v>23</v>
      </c>
      <c r="D107" s="3" t="s">
        <v>24</v>
      </c>
      <c r="E107" s="3" t="s">
        <v>31</v>
      </c>
      <c r="F107" s="3" t="s">
        <v>25</v>
      </c>
      <c r="G107" s="3" t="s">
        <v>25</v>
      </c>
      <c r="H107" s="3" t="s">
        <v>25</v>
      </c>
      <c r="I107" s="6">
        <v>44621</v>
      </c>
      <c r="J107" s="4">
        <v>0</v>
      </c>
      <c r="K107" s="4">
        <v>0</v>
      </c>
      <c r="L107" s="4">
        <v>0.03</v>
      </c>
      <c r="M107" s="4">
        <v>0.03</v>
      </c>
      <c r="N107" s="4">
        <v>0.03</v>
      </c>
      <c r="O107" s="4">
        <v>0.03</v>
      </c>
      <c r="P107" s="4">
        <v>0</v>
      </c>
      <c r="Q107" s="3" t="s">
        <v>26</v>
      </c>
      <c r="R107" s="3">
        <v>0</v>
      </c>
      <c r="S107" s="3">
        <v>0</v>
      </c>
      <c r="T107" s="3">
        <v>36</v>
      </c>
      <c r="U107" s="3">
        <v>86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397.15</v>
      </c>
      <c r="X107" s="4">
        <f>IF(ISERROR(VLOOKUP($U$107,'TAR FIN'!$A$1:$O$88,15,0)),0,VLOOKUP($U$107,'TAR FIN'!$A$1:$O$88,15,0))</f>
        <v>135.24</v>
      </c>
      <c r="Y107" s="4"/>
      <c r="Z107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7" s="4">
        <f>('TE BE'!$AB$13+'TE BF'!$AB$13+'TE CVA'!$AB$13)*(1-CUSTOS!$M$36)</f>
        <v>122.96039139779091</v>
      </c>
      <c r="AB107" s="4">
        <f t="shared" si="6"/>
        <v>0</v>
      </c>
      <c r="AC107" s="4">
        <f>(L107-M107)*(W107+X107)+($W$116+$X$116-$W$107-$X$107)*(L107)</f>
        <v>1.7744999999999993</v>
      </c>
      <c r="AD107" s="4">
        <f t="shared" si="7"/>
        <v>0</v>
      </c>
      <c r="AE107" s="4">
        <f ca="1">(L107-M107)*(Z107+AA107)+($Z$116+$AA$116-$Z$107-$AA$107)*(L107)</f>
        <v>1.874057156286532</v>
      </c>
      <c r="AF107" s="3" t="s">
        <v>649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31</v>
      </c>
      <c r="F108" s="3" t="s">
        <v>25</v>
      </c>
      <c r="G108" s="3" t="s">
        <v>25</v>
      </c>
      <c r="H108" s="3" t="s">
        <v>25</v>
      </c>
      <c r="I108" s="6">
        <v>44652</v>
      </c>
      <c r="J108" s="4">
        <v>0</v>
      </c>
      <c r="K108" s="4">
        <v>0</v>
      </c>
      <c r="L108" s="4">
        <v>44.447000000000003</v>
      </c>
      <c r="M108" s="4">
        <v>44.447000000000003</v>
      </c>
      <c r="N108" s="4">
        <v>44.447000000000003</v>
      </c>
      <c r="O108" s="4">
        <v>44.447000000000003</v>
      </c>
      <c r="P108" s="4">
        <v>273</v>
      </c>
      <c r="Q108" s="3" t="s">
        <v>26</v>
      </c>
      <c r="R108" s="3">
        <v>0</v>
      </c>
      <c r="S108" s="3">
        <v>0</v>
      </c>
      <c r="T108" s="3">
        <v>36</v>
      </c>
      <c r="U108" s="3">
        <v>86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397.15</v>
      </c>
      <c r="X108" s="4">
        <f>IF(ISERROR(VLOOKUP($U$108,'TAR FIN'!$A$1:$O$88,15,0)),0,VLOOKUP($U$108,'TAR FIN'!$A$1:$O$88,15,0))</f>
        <v>135.24</v>
      </c>
      <c r="Y108" s="4"/>
      <c r="Z108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8" s="4">
        <f>('TE BE'!$AB$13+'TE BF'!$AB$13+'TE CVA'!$AB$13)*(1-CUSTOS!$M$36)</f>
        <v>122.96039139779091</v>
      </c>
      <c r="AB108" s="4">
        <f t="shared" si="6"/>
        <v>0</v>
      </c>
      <c r="AC108" s="4">
        <f>(L108-M108)*(W108+X108)+($W$116+$X$116-$W$108-$X$108)*(L108)</f>
        <v>2629.0400499999992</v>
      </c>
      <c r="AD108" s="4">
        <f t="shared" si="7"/>
        <v>0</v>
      </c>
      <c r="AE108" s="4">
        <f ca="1">(L108-M108)*(Z108+AA108)+($Z$116+$AA$116-$Z$108-$AA$108)*(L108)</f>
        <v>2776.54061418225</v>
      </c>
      <c r="AF108" s="3" t="s">
        <v>649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31</v>
      </c>
      <c r="F109" s="3" t="s">
        <v>25</v>
      </c>
      <c r="G109" s="3" t="s">
        <v>25</v>
      </c>
      <c r="H109" s="3" t="s">
        <v>25</v>
      </c>
      <c r="I109" s="6">
        <v>44682</v>
      </c>
      <c r="J109" s="4">
        <v>0</v>
      </c>
      <c r="K109" s="4">
        <v>0</v>
      </c>
      <c r="L109" s="4">
        <v>40.914999999999999</v>
      </c>
      <c r="M109" s="4">
        <v>40.914999999999999</v>
      </c>
      <c r="N109" s="4">
        <v>40.914999999999999</v>
      </c>
      <c r="O109" s="4">
        <v>40.914999999999999</v>
      </c>
      <c r="P109" s="4">
        <v>311</v>
      </c>
      <c r="Q109" s="3" t="s">
        <v>26</v>
      </c>
      <c r="R109" s="3">
        <v>0</v>
      </c>
      <c r="S109" s="3">
        <v>0</v>
      </c>
      <c r="T109" s="3">
        <v>36</v>
      </c>
      <c r="U109" s="3">
        <v>86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397.15</v>
      </c>
      <c r="X109" s="4">
        <f>IF(ISERROR(VLOOKUP($U$109,'TAR FIN'!$A$1:$O$88,15,0)),0,VLOOKUP($U$109,'TAR FIN'!$A$1:$O$88,15,0))</f>
        <v>135.24</v>
      </c>
      <c r="Y109" s="4"/>
      <c r="Z109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09" s="4">
        <f>('TE BE'!$AB$13+'TE BF'!$AB$13+'TE CVA'!$AB$13)*(1-CUSTOS!$M$36)</f>
        <v>122.96039139779091</v>
      </c>
      <c r="AB109" s="4">
        <f t="shared" si="6"/>
        <v>0</v>
      </c>
      <c r="AC109" s="4">
        <f>(L109-M109)*(W109+X109)+($W$116+$X$116-$W$109-$X$109)*(L109)</f>
        <v>2420.122249999999</v>
      </c>
      <c r="AD109" s="4">
        <f t="shared" si="7"/>
        <v>0</v>
      </c>
      <c r="AE109" s="4">
        <f ca="1">(L109-M109)*(Z109+AA109)+($Z$116+$AA$116-$Z$109-$AA$109)*(L109)</f>
        <v>2555.9016183154486</v>
      </c>
      <c r="AF109" s="3" t="s">
        <v>649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31</v>
      </c>
      <c r="F110" s="3" t="s">
        <v>25</v>
      </c>
      <c r="G110" s="3" t="s">
        <v>25</v>
      </c>
      <c r="H110" s="3" t="s">
        <v>25</v>
      </c>
      <c r="I110" s="6">
        <v>44713</v>
      </c>
      <c r="J110" s="4">
        <v>0</v>
      </c>
      <c r="K110" s="4">
        <v>0</v>
      </c>
      <c r="L110" s="4">
        <v>37.840000000000003</v>
      </c>
      <c r="M110" s="4">
        <v>37.840000000000003</v>
      </c>
      <c r="N110" s="4">
        <v>37.840000000000003</v>
      </c>
      <c r="O110" s="4">
        <v>37.840000000000003</v>
      </c>
      <c r="P110" s="4">
        <v>242</v>
      </c>
      <c r="Q110" s="3" t="s">
        <v>26</v>
      </c>
      <c r="R110" s="3">
        <v>0</v>
      </c>
      <c r="S110" s="3">
        <v>0</v>
      </c>
      <c r="T110" s="3">
        <v>36</v>
      </c>
      <c r="U110" s="3">
        <v>86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397.15</v>
      </c>
      <c r="X110" s="4">
        <f>IF(ISERROR(VLOOKUP($U$110,'TAR FIN'!$A$1:$O$88,15,0)),0,VLOOKUP($U$110,'TAR FIN'!$A$1:$O$88,15,0))</f>
        <v>135.24</v>
      </c>
      <c r="Y110" s="4"/>
      <c r="Z110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0" s="4">
        <f>('TE BE'!$AB$13+'TE BF'!$AB$13+'TE CVA'!$AB$13)*(1-CUSTOS!$M$36)</f>
        <v>122.96039139779091</v>
      </c>
      <c r="AB110" s="4">
        <f t="shared" si="6"/>
        <v>0</v>
      </c>
      <c r="AC110" s="4">
        <f>(L110-M110)*(W110+X110)+($W$116+$X$116-$W$110-$X$110)*(L110)</f>
        <v>2238.2359999999994</v>
      </c>
      <c r="AD110" s="4">
        <f t="shared" si="7"/>
        <v>0</v>
      </c>
      <c r="AE110" s="4">
        <f ca="1">(L110-M110)*(Z110+AA110)+($Z$116+$AA$116-$Z$110-$AA$110)*(L110)</f>
        <v>2363.8107597960793</v>
      </c>
      <c r="AF110" s="3" t="s">
        <v>649</v>
      </c>
    </row>
    <row r="111" spans="1:32" ht="11.25" customHeight="1" x14ac:dyDescent="0.25">
      <c r="A111" s="3" t="s">
        <v>27</v>
      </c>
      <c r="B111" s="3" t="s">
        <v>22</v>
      </c>
      <c r="C111" s="3" t="s">
        <v>23</v>
      </c>
      <c r="D111" s="3" t="s">
        <v>24</v>
      </c>
      <c r="E111" s="3" t="s">
        <v>31</v>
      </c>
      <c r="F111" s="3" t="s">
        <v>25</v>
      </c>
      <c r="G111" s="3" t="s">
        <v>25</v>
      </c>
      <c r="H111" s="3" t="s">
        <v>25</v>
      </c>
      <c r="I111" s="6">
        <v>44713</v>
      </c>
      <c r="J111" s="4">
        <v>0</v>
      </c>
      <c r="K111" s="4">
        <v>0</v>
      </c>
      <c r="L111" s="4">
        <v>-1.6E-2</v>
      </c>
      <c r="M111" s="4">
        <v>-1.6E-2</v>
      </c>
      <c r="N111" s="4">
        <v>-1.6E-2</v>
      </c>
      <c r="O111" s="4">
        <v>-1.6E-2</v>
      </c>
      <c r="P111" s="4">
        <v>0</v>
      </c>
      <c r="Q111" s="3" t="s">
        <v>26</v>
      </c>
      <c r="R111" s="3">
        <v>0</v>
      </c>
      <c r="S111" s="3">
        <v>0</v>
      </c>
      <c r="T111" s="3">
        <v>36</v>
      </c>
      <c r="U111" s="3">
        <v>86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397.15</v>
      </c>
      <c r="X111" s="4">
        <f>IF(ISERROR(VLOOKUP($U$111,'TAR FIN'!$A$1:$O$88,15,0)),0,VLOOKUP($U$111,'TAR FIN'!$A$1:$O$88,15,0))</f>
        <v>135.24</v>
      </c>
      <c r="Y111" s="4"/>
      <c r="Z111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1" s="4">
        <f>('TE BE'!$AB$13+'TE BF'!$AB$13+'TE CVA'!$AB$13)*(1-CUSTOS!$M$36)</f>
        <v>122.96039139779091</v>
      </c>
      <c r="AB111" s="4">
        <f t="shared" si="6"/>
        <v>0</v>
      </c>
      <c r="AC111" s="4">
        <f>(L111-M111)*(W111+X111)+($W$116+$X$116-$W$111-$X$111)*(L111)</f>
        <v>-0.94639999999999969</v>
      </c>
      <c r="AD111" s="4">
        <f t="shared" si="7"/>
        <v>0</v>
      </c>
      <c r="AE111" s="4">
        <f ca="1">(L111-M111)*(Z111+AA111)+($Z$116+$AA$116-$Z$111-$AA$111)*(L111)</f>
        <v>-0.9994971500194838</v>
      </c>
      <c r="AF111" s="3" t="s">
        <v>649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31</v>
      </c>
      <c r="F112" s="3" t="s">
        <v>25</v>
      </c>
      <c r="G112" s="3" t="s">
        <v>25</v>
      </c>
      <c r="H112" s="3" t="s">
        <v>25</v>
      </c>
      <c r="I112" s="6">
        <v>44743</v>
      </c>
      <c r="J112" s="4">
        <v>0</v>
      </c>
      <c r="K112" s="4">
        <v>0</v>
      </c>
      <c r="L112" s="4">
        <v>37.328000000000003</v>
      </c>
      <c r="M112" s="4">
        <v>37.328000000000003</v>
      </c>
      <c r="N112" s="4">
        <v>37.328000000000003</v>
      </c>
      <c r="O112" s="4">
        <v>37.328000000000003</v>
      </c>
      <c r="P112" s="4">
        <v>262</v>
      </c>
      <c r="Q112" s="3" t="s">
        <v>26</v>
      </c>
      <c r="R112" s="3">
        <v>0</v>
      </c>
      <c r="S112" s="3">
        <v>0</v>
      </c>
      <c r="T112" s="3">
        <v>36</v>
      </c>
      <c r="U112" s="3">
        <v>86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397.15</v>
      </c>
      <c r="X112" s="4">
        <f>IF(ISERROR(VLOOKUP($U$112,'TAR FIN'!$A$1:$O$88,15,0)),0,VLOOKUP($U$112,'TAR FIN'!$A$1:$O$88,15,0))</f>
        <v>135.24</v>
      </c>
      <c r="Y112" s="4"/>
      <c r="Z112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2" s="4">
        <f>('TE BE'!$AB$13+'TE BF'!$AB$13+'TE CVA'!$AB$13)*(1-CUSTOS!$M$36)</f>
        <v>122.96039139779091</v>
      </c>
      <c r="AB112" s="4">
        <f t="shared" si="6"/>
        <v>0</v>
      </c>
      <c r="AC112" s="4">
        <f>(L112-M112)*(W112+X112)+($W$116+$X$116-$W$112-$X$112)*(L112)</f>
        <v>2207.9511999999995</v>
      </c>
      <c r="AD112" s="4">
        <f t="shared" si="7"/>
        <v>0</v>
      </c>
      <c r="AE112" s="4">
        <f ca="1">(L112-M112)*(Z112+AA112)+($Z$116+$AA$116-$Z$112-$AA$112)*(L112)</f>
        <v>2331.826850995456</v>
      </c>
      <c r="AF112" s="3" t="s">
        <v>649</v>
      </c>
    </row>
    <row r="113" spans="1:32" ht="11.25" customHeight="1" x14ac:dyDescent="0.25">
      <c r="A113" s="3" t="s">
        <v>27</v>
      </c>
      <c r="B113" s="3" t="s">
        <v>22</v>
      </c>
      <c r="C113" s="3" t="s">
        <v>23</v>
      </c>
      <c r="D113" s="3" t="s">
        <v>24</v>
      </c>
      <c r="E113" s="3" t="s">
        <v>31</v>
      </c>
      <c r="F113" s="3" t="s">
        <v>25</v>
      </c>
      <c r="G113" s="3" t="s">
        <v>25</v>
      </c>
      <c r="H113" s="3" t="s">
        <v>25</v>
      </c>
      <c r="I113" s="6">
        <v>44743</v>
      </c>
      <c r="J113" s="4">
        <v>0</v>
      </c>
      <c r="K113" s="4">
        <v>0</v>
      </c>
      <c r="L113" s="4">
        <v>0.13200000000000001</v>
      </c>
      <c r="M113" s="4">
        <v>0.13200000000000001</v>
      </c>
      <c r="N113" s="4">
        <v>0.13200000000000001</v>
      </c>
      <c r="O113" s="4">
        <v>0.13200000000000001</v>
      </c>
      <c r="P113" s="4">
        <v>0</v>
      </c>
      <c r="Q113" s="3" t="s">
        <v>26</v>
      </c>
      <c r="R113" s="3">
        <v>0</v>
      </c>
      <c r="S113" s="3">
        <v>0</v>
      </c>
      <c r="T113" s="3">
        <v>36</v>
      </c>
      <c r="U113" s="3">
        <v>86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397.15</v>
      </c>
      <c r="X113" s="4">
        <f>IF(ISERROR(VLOOKUP($U$113,'TAR FIN'!$A$1:$O$88,15,0)),0,VLOOKUP($U$113,'TAR FIN'!$A$1:$O$88,15,0))</f>
        <v>135.24</v>
      </c>
      <c r="Y113" s="4"/>
      <c r="Z113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3" s="4">
        <f>('TE BE'!$AB$13+'TE BF'!$AB$13+'TE CVA'!$AB$13)*(1-CUSTOS!$M$36)</f>
        <v>122.96039139779091</v>
      </c>
      <c r="AB113" s="4">
        <f t="shared" si="6"/>
        <v>0</v>
      </c>
      <c r="AC113" s="4">
        <f>(L113-M113)*(W113+X113)+($W$116+$X$116-$W$113-$X$113)*(L113)</f>
        <v>7.8077999999999976</v>
      </c>
      <c r="AD113" s="4">
        <f t="shared" si="7"/>
        <v>0</v>
      </c>
      <c r="AE113" s="4">
        <f ca="1">(L113-M113)*(Z113+AA113)+($Z$116+$AA$116-$Z$113-$AA$113)*(L113)</f>
        <v>8.2458514876607421</v>
      </c>
      <c r="AF113" s="3" t="s">
        <v>649</v>
      </c>
    </row>
    <row r="114" spans="1:32" ht="11.25" customHeight="1" x14ac:dyDescent="0.25">
      <c r="A114" s="3" t="s">
        <v>55</v>
      </c>
      <c r="B114" s="3" t="s">
        <v>22</v>
      </c>
      <c r="C114" s="3" t="s">
        <v>23</v>
      </c>
      <c r="D114" s="3" t="s">
        <v>24</v>
      </c>
      <c r="E114" s="3" t="s">
        <v>31</v>
      </c>
      <c r="F114" s="3" t="s">
        <v>25</v>
      </c>
      <c r="G114" s="3" t="s">
        <v>25</v>
      </c>
      <c r="H114" s="3" t="s">
        <v>25</v>
      </c>
      <c r="I114" s="6">
        <v>44774</v>
      </c>
      <c r="J114" s="4">
        <v>0</v>
      </c>
      <c r="K114" s="4">
        <v>0</v>
      </c>
      <c r="L114" s="4">
        <v>37.328000000000003</v>
      </c>
      <c r="M114" s="4">
        <v>37.328000000000003</v>
      </c>
      <c r="N114" s="4">
        <v>37.328000000000003</v>
      </c>
      <c r="O114" s="4">
        <v>37.328000000000003</v>
      </c>
      <c r="P114" s="4">
        <v>262</v>
      </c>
      <c r="Q114" s="3" t="s">
        <v>26</v>
      </c>
      <c r="R114" s="3">
        <v>0</v>
      </c>
      <c r="S114" s="3">
        <v>0</v>
      </c>
      <c r="T114" s="3">
        <v>36</v>
      </c>
      <c r="U114" s="3">
        <v>86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397.15</v>
      </c>
      <c r="X114" s="4">
        <f>IF(ISERROR(VLOOKUP($U$114,'TAR FIN'!$A$1:$O$88,15,0)),0,VLOOKUP($U$114,'TAR FIN'!$A$1:$O$88,15,0))</f>
        <v>135.24</v>
      </c>
      <c r="Y114" s="4"/>
      <c r="Z114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4" s="4">
        <f>('TE BE'!$AB$13+'TE BF'!$AB$13+'TE CVA'!$AB$13)*(1-CUSTOS!$M$36)</f>
        <v>122.96039139779091</v>
      </c>
      <c r="AB114" s="4">
        <f t="shared" si="6"/>
        <v>0</v>
      </c>
      <c r="AC114" s="4">
        <f>(L114-M114)*(W114+X114)+($W$116+$X$116-$W$114-$X$114)*(L114)</f>
        <v>2207.9511999999995</v>
      </c>
      <c r="AD114" s="4">
        <f t="shared" si="7"/>
        <v>0</v>
      </c>
      <c r="AE114" s="4">
        <f ca="1">(L114-M114)*(Z114+AA114)+($Z$116+$AA$116-$Z$114-$AA$114)*(L114)</f>
        <v>2331.826850995456</v>
      </c>
      <c r="AF114" s="3" t="s">
        <v>649</v>
      </c>
    </row>
    <row r="115" spans="1:32" ht="11.25" customHeight="1" x14ac:dyDescent="0.25">
      <c r="A115" s="3" t="s">
        <v>55</v>
      </c>
      <c r="B115" s="3" t="s">
        <v>22</v>
      </c>
      <c r="C115" s="3" t="s">
        <v>23</v>
      </c>
      <c r="D115" s="3" t="s">
        <v>24</v>
      </c>
      <c r="E115" s="3" t="s">
        <v>31</v>
      </c>
      <c r="F115" s="3" t="s">
        <v>25</v>
      </c>
      <c r="G115" s="3" t="s">
        <v>25</v>
      </c>
      <c r="H115" s="3" t="s">
        <v>25</v>
      </c>
      <c r="I115" s="6">
        <v>44774</v>
      </c>
      <c r="J115" s="4">
        <v>0</v>
      </c>
      <c r="K115" s="4">
        <v>0</v>
      </c>
      <c r="L115" s="4">
        <v>0.13200000000000001</v>
      </c>
      <c r="M115" s="4">
        <v>0.13200000000000001</v>
      </c>
      <c r="N115" s="4">
        <v>0.13200000000000001</v>
      </c>
      <c r="O115" s="4">
        <v>0.13200000000000001</v>
      </c>
      <c r="P115" s="4">
        <v>0</v>
      </c>
      <c r="Q115" s="3" t="s">
        <v>26</v>
      </c>
      <c r="R115" s="3">
        <v>0</v>
      </c>
      <c r="S115" s="3">
        <v>0</v>
      </c>
      <c r="T115" s="3">
        <v>36</v>
      </c>
      <c r="U115" s="3">
        <v>86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397.15</v>
      </c>
      <c r="X115" s="4">
        <f>IF(ISERROR(VLOOKUP($U$115,'TAR FIN'!$A$1:$O$88,15,0)),0,VLOOKUP($U$115,'TAR FIN'!$A$1:$O$88,15,0))</f>
        <v>135.24</v>
      </c>
      <c r="Y115" s="4"/>
      <c r="Z115" s="4">
        <f ca="1">('TUSD BE'!$AM$23+'TUSD BF'!$AM$23+'TUSD CVA'!$AM$23-('TUSD BE'!$P$23+'TUSD BF'!$P$23+'TUSD CVA'!$P$23)-('TUSD BE'!$Q$23+'TUSD BF'!$Q$23+'TUSD CVA'!$Q$23)-('TUSD BE'!$R$23+'TUSD BF'!$R$23+'TUSD CVA'!$R$23))*(1-CUSTOS!$M$36)</f>
        <v>439.25675548816912</v>
      </c>
      <c r="AA115" s="4">
        <f>('TE BE'!$AB$13+'TE BF'!$AB$13+'TE CVA'!$AB$13)*(1-CUSTOS!$M$36)</f>
        <v>122.96039139779091</v>
      </c>
      <c r="AB115" s="4">
        <f t="shared" si="6"/>
        <v>0</v>
      </c>
      <c r="AC115" s="4">
        <f>(L115-M115)*(W115+X115)+($W$116+$X$116-$W$115-$X$115)*(L115)</f>
        <v>7.8077999999999976</v>
      </c>
      <c r="AD115" s="4">
        <f t="shared" si="7"/>
        <v>0</v>
      </c>
      <c r="AE115" s="4">
        <f ca="1">(L115-M115)*(Z115+AA115)+($Z$116+$AA$116-$Z$115-$AA$115)*(L115)</f>
        <v>8.2458514876607421</v>
      </c>
      <c r="AF115" s="3" t="s">
        <v>649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32</v>
      </c>
      <c r="F116" s="3" t="s">
        <v>25</v>
      </c>
      <c r="G116" s="3" t="s">
        <v>25</v>
      </c>
      <c r="H116" s="3" t="s">
        <v>25</v>
      </c>
      <c r="I116" s="6">
        <v>44440</v>
      </c>
      <c r="J116" s="4">
        <v>0</v>
      </c>
      <c r="K116" s="4">
        <v>0</v>
      </c>
      <c r="L116" s="4">
        <v>14.227</v>
      </c>
      <c r="M116" s="4">
        <v>14.227</v>
      </c>
      <c r="N116" s="4">
        <v>14.227</v>
      </c>
      <c r="O116" s="4">
        <v>14.227</v>
      </c>
      <c r="P116" s="4">
        <v>186</v>
      </c>
      <c r="Q116" s="3" t="s">
        <v>26</v>
      </c>
      <c r="R116" s="3">
        <v>0</v>
      </c>
      <c r="S116" s="3">
        <v>0</v>
      </c>
      <c r="T116" s="3">
        <v>52</v>
      </c>
      <c r="U116" s="3">
        <v>87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441.28</v>
      </c>
      <c r="X116" s="4">
        <f>IF(ISERROR(VLOOKUP($U$116,'TAR FIN'!$A$1:$O$88,15,0)),0,VLOOKUP($U$116,'TAR FIN'!$A$1:$O$88,15,0))</f>
        <v>150.26</v>
      </c>
      <c r="Y116" s="4"/>
      <c r="Z116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16" s="4">
        <f>('TE BE'!$AB$14+'TE BF'!$AB$14+'TE CVA'!$AB$14)*(1-CUSTOS!$M$37)</f>
        <v>136.62265710865657</v>
      </c>
      <c r="AB116" s="4">
        <f t="shared" si="6"/>
        <v>0</v>
      </c>
      <c r="AC116" s="4">
        <f>(L116-M116)*(W116+X116)+($W$116+$X$116-$W$116-$X$116)*(L116)</f>
        <v>0</v>
      </c>
      <c r="AD116" s="4">
        <f t="shared" si="7"/>
        <v>0</v>
      </c>
      <c r="AE116" s="4">
        <f ca="1">(L116-M116)*(Z116+AA116)+($Z$116+$AA$116-$Z$116-$AA$116)*(L116)</f>
        <v>-4.0435566006635782E-13</v>
      </c>
      <c r="AF116" s="3" t="s">
        <v>649</v>
      </c>
    </row>
    <row r="117" spans="1:32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32</v>
      </c>
      <c r="F117" s="3" t="s">
        <v>25</v>
      </c>
      <c r="G117" s="3" t="s">
        <v>25</v>
      </c>
      <c r="H117" s="3" t="s">
        <v>25</v>
      </c>
      <c r="I117" s="6">
        <v>44470</v>
      </c>
      <c r="J117" s="4">
        <v>0</v>
      </c>
      <c r="K117" s="4">
        <v>0</v>
      </c>
      <c r="L117" s="4">
        <v>13.89</v>
      </c>
      <c r="M117" s="4">
        <v>13.89</v>
      </c>
      <c r="N117" s="4">
        <v>13.89</v>
      </c>
      <c r="O117" s="4">
        <v>13.89</v>
      </c>
      <c r="P117" s="4">
        <v>173</v>
      </c>
      <c r="Q117" s="3" t="s">
        <v>26</v>
      </c>
      <c r="R117" s="3">
        <v>0</v>
      </c>
      <c r="S117" s="3">
        <v>0</v>
      </c>
      <c r="T117" s="3">
        <v>52</v>
      </c>
      <c r="U117" s="3">
        <v>87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441.28</v>
      </c>
      <c r="X117" s="4">
        <f>IF(ISERROR(VLOOKUP($U$117,'TAR FIN'!$A$1:$O$88,15,0)),0,VLOOKUP($U$117,'TAR FIN'!$A$1:$O$88,15,0))</f>
        <v>150.26</v>
      </c>
      <c r="Y117" s="4"/>
      <c r="Z117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17" s="4">
        <f>('TE BE'!$AB$14+'TE BF'!$AB$14+'TE CVA'!$AB$14)*(1-CUSTOS!$M$37)</f>
        <v>136.62265710865657</v>
      </c>
      <c r="AB117" s="4">
        <f t="shared" si="6"/>
        <v>0</v>
      </c>
      <c r="AC117" s="4">
        <f>(L117-M117)*(W117+X117)+($W$116+$X$116-$W$117-$X$117)*(L117)</f>
        <v>0</v>
      </c>
      <c r="AD117" s="4">
        <f t="shared" si="7"/>
        <v>0</v>
      </c>
      <c r="AE117" s="4">
        <f ca="1">(L117-M117)*(Z117+AA117)+($Z$116+$AA$116-$Z$117-$AA$117)*(L117)</f>
        <v>-3.9477754398831168E-13</v>
      </c>
      <c r="AF117" s="3" t="s">
        <v>649</v>
      </c>
    </row>
    <row r="118" spans="1:32" ht="11.25" customHeight="1" x14ac:dyDescent="0.25">
      <c r="A118" s="3" t="s">
        <v>27</v>
      </c>
      <c r="B118" s="3" t="s">
        <v>22</v>
      </c>
      <c r="C118" s="3" t="s">
        <v>23</v>
      </c>
      <c r="D118" s="3" t="s">
        <v>24</v>
      </c>
      <c r="E118" s="3" t="s">
        <v>32</v>
      </c>
      <c r="F118" s="3" t="s">
        <v>25</v>
      </c>
      <c r="G118" s="3" t="s">
        <v>25</v>
      </c>
      <c r="H118" s="3" t="s">
        <v>25</v>
      </c>
      <c r="I118" s="6">
        <v>44470</v>
      </c>
      <c r="J118" s="4">
        <v>0</v>
      </c>
      <c r="K118" s="4">
        <v>0</v>
      </c>
      <c r="L118" s="4">
        <v>-3.6999999999999998E-2</v>
      </c>
      <c r="M118" s="4">
        <v>-3.6999999999999998E-2</v>
      </c>
      <c r="N118" s="4">
        <v>-3.6999999999999998E-2</v>
      </c>
      <c r="O118" s="4">
        <v>-3.6999999999999998E-2</v>
      </c>
      <c r="P118" s="4">
        <v>0</v>
      </c>
      <c r="Q118" s="3" t="s">
        <v>26</v>
      </c>
      <c r="R118" s="3">
        <v>0</v>
      </c>
      <c r="S118" s="3">
        <v>0</v>
      </c>
      <c r="T118" s="3">
        <v>52</v>
      </c>
      <c r="U118" s="3">
        <v>87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441.28</v>
      </c>
      <c r="X118" s="4">
        <f>IF(ISERROR(VLOOKUP($U$118,'TAR FIN'!$A$1:$O$88,15,0)),0,VLOOKUP($U$118,'TAR FIN'!$A$1:$O$88,15,0))</f>
        <v>150.26</v>
      </c>
      <c r="Y118" s="4"/>
      <c r="Z118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18" s="4">
        <f>('TE BE'!$AB$14+'TE BF'!$AB$14+'TE CVA'!$AB$14)*(1-CUSTOS!$M$37)</f>
        <v>136.62265710865657</v>
      </c>
      <c r="AB118" s="4">
        <f t="shared" si="6"/>
        <v>0</v>
      </c>
      <c r="AC118" s="4">
        <f>(L118-M118)*(W118+X118)+($W$116+$X$116-$W$118-$X$118)*(L118)</f>
        <v>0</v>
      </c>
      <c r="AD118" s="4">
        <f t="shared" si="7"/>
        <v>0</v>
      </c>
      <c r="AE118" s="4">
        <f ca="1">(L118-M118)*(Z118+AA118)+($Z$116+$AA$116-$Z$118-$AA$118)*(L118)</f>
        <v>1.0516032489249482E-15</v>
      </c>
      <c r="AF118" s="3" t="s">
        <v>649</v>
      </c>
    </row>
    <row r="119" spans="1:32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32</v>
      </c>
      <c r="F119" s="3" t="s">
        <v>25</v>
      </c>
      <c r="G119" s="3" t="s">
        <v>25</v>
      </c>
      <c r="H119" s="3" t="s">
        <v>25</v>
      </c>
      <c r="I119" s="6">
        <v>44501</v>
      </c>
      <c r="J119" s="4">
        <v>0</v>
      </c>
      <c r="K119" s="4">
        <v>0</v>
      </c>
      <c r="L119" s="4">
        <v>15.231999999999999</v>
      </c>
      <c r="M119" s="4">
        <v>15.231999999999999</v>
      </c>
      <c r="N119" s="4">
        <v>15.231999999999999</v>
      </c>
      <c r="O119" s="4">
        <v>15.231999999999999</v>
      </c>
      <c r="P119" s="4">
        <v>183</v>
      </c>
      <c r="Q119" s="3" t="s">
        <v>26</v>
      </c>
      <c r="R119" s="3">
        <v>0</v>
      </c>
      <c r="S119" s="3">
        <v>0</v>
      </c>
      <c r="T119" s="3">
        <v>52</v>
      </c>
      <c r="U119" s="3">
        <v>87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441.28</v>
      </c>
      <c r="X119" s="4">
        <f>IF(ISERROR(VLOOKUP($U$119,'TAR FIN'!$A$1:$O$88,15,0)),0,VLOOKUP($U$119,'TAR FIN'!$A$1:$O$88,15,0))</f>
        <v>150.26</v>
      </c>
      <c r="Y119" s="4"/>
      <c r="Z119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19" s="4">
        <f>('TE BE'!$AB$14+'TE BF'!$AB$14+'TE CVA'!$AB$14)*(1-CUSTOS!$M$37)</f>
        <v>136.62265710865657</v>
      </c>
      <c r="AB119" s="4">
        <f t="shared" si="6"/>
        <v>0</v>
      </c>
      <c r="AC119" s="4">
        <f>(L119-M119)*(W119+X119)+($W$116+$X$116-$W$119-$X$119)*(L119)</f>
        <v>0</v>
      </c>
      <c r="AD119" s="4">
        <f t="shared" si="7"/>
        <v>0</v>
      </c>
      <c r="AE119" s="4">
        <f ca="1">(L119-M119)*(Z119+AA119)+($Z$116+$AA$116-$Z$119-$AA$119)*(L119)</f>
        <v>-4.3291947804391382E-13</v>
      </c>
      <c r="AF119" s="3" t="s">
        <v>649</v>
      </c>
    </row>
    <row r="120" spans="1:32" ht="11.25" customHeight="1" x14ac:dyDescent="0.25">
      <c r="A120" s="3" t="s">
        <v>27</v>
      </c>
      <c r="B120" s="3" t="s">
        <v>22</v>
      </c>
      <c r="C120" s="3" t="s">
        <v>23</v>
      </c>
      <c r="D120" s="3" t="s">
        <v>24</v>
      </c>
      <c r="E120" s="3" t="s">
        <v>32</v>
      </c>
      <c r="F120" s="3" t="s">
        <v>25</v>
      </c>
      <c r="G120" s="3" t="s">
        <v>25</v>
      </c>
      <c r="H120" s="3" t="s">
        <v>25</v>
      </c>
      <c r="I120" s="6">
        <v>44501</v>
      </c>
      <c r="J120" s="4">
        <v>0</v>
      </c>
      <c r="K120" s="4">
        <v>0</v>
      </c>
      <c r="L120" s="4">
        <v>-1.2809999999999999</v>
      </c>
      <c r="M120" s="4">
        <v>-1.2809999999999999</v>
      </c>
      <c r="N120" s="4">
        <v>-1.2809999999999999</v>
      </c>
      <c r="O120" s="4">
        <v>-1.2809999999999999</v>
      </c>
      <c r="P120" s="4">
        <v>0</v>
      </c>
      <c r="Q120" s="3" t="s">
        <v>26</v>
      </c>
      <c r="R120" s="3">
        <v>0</v>
      </c>
      <c r="S120" s="3">
        <v>0</v>
      </c>
      <c r="T120" s="3">
        <v>52</v>
      </c>
      <c r="U120" s="3">
        <v>87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441.28</v>
      </c>
      <c r="X120" s="4">
        <f>IF(ISERROR(VLOOKUP($U$120,'TAR FIN'!$A$1:$O$88,15,0)),0,VLOOKUP($U$120,'TAR FIN'!$A$1:$O$88,15,0))</f>
        <v>150.26</v>
      </c>
      <c r="Y120" s="4"/>
      <c r="Z120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0" s="4">
        <f>('TE BE'!$AB$14+'TE BF'!$AB$14+'TE CVA'!$AB$14)*(1-CUSTOS!$M$37)</f>
        <v>136.62265710865657</v>
      </c>
      <c r="AB120" s="4">
        <f t="shared" si="6"/>
        <v>0</v>
      </c>
      <c r="AC120" s="4">
        <f>(L120-M120)*(W120+X120)+($W$116+$X$116-$W$120-$X$120)*(L120)</f>
        <v>0</v>
      </c>
      <c r="AD120" s="4">
        <f t="shared" si="7"/>
        <v>0</v>
      </c>
      <c r="AE120" s="4">
        <f ca="1">(L120-M120)*(Z120+AA120)+($Z$116+$AA$116-$Z$120-$AA$120)*(L120)</f>
        <v>3.6408209780347531E-14</v>
      </c>
      <c r="AF120" s="3" t="s">
        <v>649</v>
      </c>
    </row>
    <row r="121" spans="1:32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32</v>
      </c>
      <c r="F121" s="3" t="s">
        <v>25</v>
      </c>
      <c r="G121" s="3" t="s">
        <v>25</v>
      </c>
      <c r="H121" s="3" t="s">
        <v>25</v>
      </c>
      <c r="I121" s="6">
        <v>44531</v>
      </c>
      <c r="J121" s="4">
        <v>0</v>
      </c>
      <c r="K121" s="4">
        <v>0</v>
      </c>
      <c r="L121" s="4">
        <v>17.779</v>
      </c>
      <c r="M121" s="4">
        <v>17.779</v>
      </c>
      <c r="N121" s="4">
        <v>17.779</v>
      </c>
      <c r="O121" s="4">
        <v>17.779</v>
      </c>
      <c r="P121" s="4">
        <v>207</v>
      </c>
      <c r="Q121" s="3" t="s">
        <v>26</v>
      </c>
      <c r="R121" s="3">
        <v>0</v>
      </c>
      <c r="S121" s="3">
        <v>0</v>
      </c>
      <c r="T121" s="3">
        <v>52</v>
      </c>
      <c r="U121" s="3">
        <v>87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441.28</v>
      </c>
      <c r="X121" s="4">
        <f>IF(ISERROR(VLOOKUP($U$121,'TAR FIN'!$A$1:$O$88,15,0)),0,VLOOKUP($U$121,'TAR FIN'!$A$1:$O$88,15,0))</f>
        <v>150.26</v>
      </c>
      <c r="Y121" s="4"/>
      <c r="Z121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1" s="4">
        <f>('TE BE'!$AB$14+'TE BF'!$AB$14+'TE CVA'!$AB$14)*(1-CUSTOS!$M$37)</f>
        <v>136.62265710865657</v>
      </c>
      <c r="AB121" s="4">
        <f t="shared" si="6"/>
        <v>0</v>
      </c>
      <c r="AC121" s="4">
        <f>(L121-M121)*(W121+X121)+($W$116+$X$116-$W$121-$X$121)*(L121)</f>
        <v>0</v>
      </c>
      <c r="AD121" s="4">
        <f t="shared" si="7"/>
        <v>0</v>
      </c>
      <c r="AE121" s="4">
        <f ca="1">(L121-M121)*(Z121+AA121)+($Z$116+$AA$116-$Z$121-$AA$121)*(L121)</f>
        <v>-5.0530957196315285E-13</v>
      </c>
      <c r="AF121" s="3" t="s">
        <v>649</v>
      </c>
    </row>
    <row r="122" spans="1:32" ht="11.25" customHeight="1" x14ac:dyDescent="0.25">
      <c r="A122" s="3" t="s">
        <v>27</v>
      </c>
      <c r="B122" s="3" t="s">
        <v>22</v>
      </c>
      <c r="C122" s="3" t="s">
        <v>23</v>
      </c>
      <c r="D122" s="3" t="s">
        <v>24</v>
      </c>
      <c r="E122" s="3" t="s">
        <v>32</v>
      </c>
      <c r="F122" s="3" t="s">
        <v>25</v>
      </c>
      <c r="G122" s="3" t="s">
        <v>25</v>
      </c>
      <c r="H122" s="3" t="s">
        <v>25</v>
      </c>
      <c r="I122" s="6">
        <v>44531</v>
      </c>
      <c r="J122" s="4">
        <v>0</v>
      </c>
      <c r="K122" s="4">
        <v>0</v>
      </c>
      <c r="L122" s="4">
        <v>-0.245</v>
      </c>
      <c r="M122" s="4">
        <v>-0.245</v>
      </c>
      <c r="N122" s="4">
        <v>-0.245</v>
      </c>
      <c r="O122" s="4">
        <v>-0.245</v>
      </c>
      <c r="P122" s="4">
        <v>0</v>
      </c>
      <c r="Q122" s="3" t="s">
        <v>26</v>
      </c>
      <c r="R122" s="3">
        <v>0</v>
      </c>
      <c r="S122" s="3">
        <v>0</v>
      </c>
      <c r="T122" s="3">
        <v>52</v>
      </c>
      <c r="U122" s="3">
        <v>87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441.28</v>
      </c>
      <c r="X122" s="4">
        <f>IF(ISERROR(VLOOKUP($U$122,'TAR FIN'!$A$1:$O$88,15,0)),0,VLOOKUP($U$122,'TAR FIN'!$A$1:$O$88,15,0))</f>
        <v>150.26</v>
      </c>
      <c r="Y122" s="4"/>
      <c r="Z122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2" s="4">
        <f>('TE BE'!$AB$14+'TE BF'!$AB$14+'TE CVA'!$AB$14)*(1-CUSTOS!$M$37)</f>
        <v>136.62265710865657</v>
      </c>
      <c r="AB122" s="4">
        <f t="shared" si="6"/>
        <v>0</v>
      </c>
      <c r="AC122" s="4">
        <f>(L122-M122)*(W122+X122)+($W$116+$X$116-$W$122-$X$122)*(L122)</f>
        <v>0</v>
      </c>
      <c r="AD122" s="4">
        <f t="shared" si="7"/>
        <v>0</v>
      </c>
      <c r="AE122" s="4">
        <f ca="1">(L122-M122)*(Z122+AA122)+($Z$116+$AA$116-$Z$122-$AA$122)*(L122)</f>
        <v>6.9633188104489817E-15</v>
      </c>
      <c r="AF122" s="3" t="s">
        <v>649</v>
      </c>
    </row>
    <row r="123" spans="1:32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32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30.530999999999999</v>
      </c>
      <c r="M123" s="4">
        <v>30.530999999999999</v>
      </c>
      <c r="N123" s="4">
        <v>30.530999999999999</v>
      </c>
      <c r="O123" s="4">
        <v>30.530999999999999</v>
      </c>
      <c r="P123" s="4">
        <v>273</v>
      </c>
      <c r="Q123" s="3" t="s">
        <v>26</v>
      </c>
      <c r="R123" s="3">
        <v>0</v>
      </c>
      <c r="S123" s="3">
        <v>0</v>
      </c>
      <c r="T123" s="3">
        <v>52</v>
      </c>
      <c r="U123" s="3">
        <v>87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441.28</v>
      </c>
      <c r="X123" s="4">
        <f>IF(ISERROR(VLOOKUP($U$123,'TAR FIN'!$A$1:$O$88,15,0)),0,VLOOKUP($U$123,'TAR FIN'!$A$1:$O$88,15,0))</f>
        <v>150.26</v>
      </c>
      <c r="Y123" s="4"/>
      <c r="Z123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3" s="4">
        <f>('TE BE'!$AB$14+'TE BF'!$AB$14+'TE CVA'!$AB$14)*(1-CUSTOS!$M$37)</f>
        <v>136.62265710865657</v>
      </c>
      <c r="AB123" s="4">
        <f t="shared" si="6"/>
        <v>0</v>
      </c>
      <c r="AC123" s="4">
        <f>(L123-M123)*(W123+X123)+($W$116+$X$116-$W$123-$X$123)*(L123)</f>
        <v>0</v>
      </c>
      <c r="AD123" s="4">
        <f t="shared" si="7"/>
        <v>0</v>
      </c>
      <c r="AE123" s="4">
        <f ca="1">(L123-M123)*(Z123+AA123)+($Z$116+$AA$116-$Z$123-$AA$123)*(L123)</f>
        <v>-8.6774321061966472E-13</v>
      </c>
      <c r="AF123" s="3" t="s">
        <v>649</v>
      </c>
    </row>
    <row r="124" spans="1:32" ht="11.25" customHeight="1" x14ac:dyDescent="0.25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32</v>
      </c>
      <c r="F124" s="3" t="s">
        <v>25</v>
      </c>
      <c r="G124" s="3" t="s">
        <v>25</v>
      </c>
      <c r="H124" s="3" t="s">
        <v>25</v>
      </c>
      <c r="I124" s="6">
        <v>44593</v>
      </c>
      <c r="J124" s="4">
        <v>0</v>
      </c>
      <c r="K124" s="4">
        <v>0</v>
      </c>
      <c r="L124" s="4">
        <v>28.343</v>
      </c>
      <c r="M124" s="4">
        <v>28.343</v>
      </c>
      <c r="N124" s="4">
        <v>28.343</v>
      </c>
      <c r="O124" s="4">
        <v>28.343</v>
      </c>
      <c r="P124" s="4">
        <v>255</v>
      </c>
      <c r="Q124" s="3" t="s">
        <v>26</v>
      </c>
      <c r="R124" s="3">
        <v>0</v>
      </c>
      <c r="S124" s="3">
        <v>0</v>
      </c>
      <c r="T124" s="3">
        <v>52</v>
      </c>
      <c r="U124" s="3">
        <v>87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441.28</v>
      </c>
      <c r="X124" s="4">
        <f>IF(ISERROR(VLOOKUP($U$124,'TAR FIN'!$A$1:$O$88,15,0)),0,VLOOKUP($U$124,'TAR FIN'!$A$1:$O$88,15,0))</f>
        <v>150.26</v>
      </c>
      <c r="Y124" s="4"/>
      <c r="Z124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4" s="4">
        <f>('TE BE'!$AB$14+'TE BF'!$AB$14+'TE CVA'!$AB$14)*(1-CUSTOS!$M$37)</f>
        <v>136.62265710865657</v>
      </c>
      <c r="AB124" s="4">
        <f t="shared" si="6"/>
        <v>0</v>
      </c>
      <c r="AC124" s="4">
        <f>(L124-M124)*(W124+X124)+($W$116+$X$116-$W$124-$X$124)*(L124)</f>
        <v>0</v>
      </c>
      <c r="AD124" s="4">
        <f t="shared" si="7"/>
        <v>0</v>
      </c>
      <c r="AE124" s="4">
        <f ca="1">(L124-M124)*(Z124+AA124)+($Z$116+$AA$116-$Z$124-$AA$124)*(L124)</f>
        <v>-8.0555651038594078E-13</v>
      </c>
      <c r="AF124" s="3" t="s">
        <v>649</v>
      </c>
    </row>
    <row r="125" spans="1:32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32</v>
      </c>
      <c r="F125" s="3" t="s">
        <v>25</v>
      </c>
      <c r="G125" s="3" t="s">
        <v>25</v>
      </c>
      <c r="H125" s="3" t="s">
        <v>25</v>
      </c>
      <c r="I125" s="6">
        <v>44621</v>
      </c>
      <c r="J125" s="4">
        <v>0</v>
      </c>
      <c r="K125" s="4">
        <v>0</v>
      </c>
      <c r="L125" s="4">
        <v>24.643999999999998</v>
      </c>
      <c r="M125" s="4">
        <v>24.643999999999998</v>
      </c>
      <c r="N125" s="4">
        <v>24.643999999999998</v>
      </c>
      <c r="O125" s="4">
        <v>24.643999999999998</v>
      </c>
      <c r="P125" s="4">
        <v>239</v>
      </c>
      <c r="Q125" s="3" t="s">
        <v>26</v>
      </c>
      <c r="R125" s="3">
        <v>0</v>
      </c>
      <c r="S125" s="3">
        <v>0</v>
      </c>
      <c r="T125" s="3">
        <v>52</v>
      </c>
      <c r="U125" s="3">
        <v>87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441.28</v>
      </c>
      <c r="X125" s="4">
        <f>IF(ISERROR(VLOOKUP($U$125,'TAR FIN'!$A$1:$O$88,15,0)),0,VLOOKUP($U$125,'TAR FIN'!$A$1:$O$88,15,0))</f>
        <v>150.26</v>
      </c>
      <c r="Y125" s="4"/>
      <c r="Z125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5" s="4">
        <f>('TE BE'!$AB$14+'TE BF'!$AB$14+'TE CVA'!$AB$14)*(1-CUSTOS!$M$37)</f>
        <v>136.62265710865657</v>
      </c>
      <c r="AB125" s="4">
        <f t="shared" si="6"/>
        <v>0</v>
      </c>
      <c r="AC125" s="4">
        <f>(L125-M125)*(W125+X125)+($W$116+$X$116-$W$125-$X$125)*(L125)</f>
        <v>0</v>
      </c>
      <c r="AD125" s="4">
        <f t="shared" si="7"/>
        <v>0</v>
      </c>
      <c r="AE125" s="4">
        <f ca="1">(L125-M125)*(Z125+AA125)+($Z$116+$AA$116-$Z$125-$AA$125)*(L125)</f>
        <v>-7.0042460720287631E-13</v>
      </c>
      <c r="AF125" s="3" t="s">
        <v>649</v>
      </c>
    </row>
    <row r="126" spans="1:32" ht="11.25" customHeight="1" x14ac:dyDescent="0.25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32</v>
      </c>
      <c r="F126" s="3" t="s">
        <v>25</v>
      </c>
      <c r="G126" s="3" t="s">
        <v>25</v>
      </c>
      <c r="H126" s="3" t="s">
        <v>25</v>
      </c>
      <c r="I126" s="6">
        <v>44652</v>
      </c>
      <c r="J126" s="4">
        <v>0</v>
      </c>
      <c r="K126" s="4">
        <v>0</v>
      </c>
      <c r="L126" s="4">
        <v>19.66</v>
      </c>
      <c r="M126" s="4">
        <v>19.66</v>
      </c>
      <c r="N126" s="4">
        <v>19.66</v>
      </c>
      <c r="O126" s="4">
        <v>19.66</v>
      </c>
      <c r="P126" s="4">
        <v>225</v>
      </c>
      <c r="Q126" s="3" t="s">
        <v>26</v>
      </c>
      <c r="R126" s="3">
        <v>0</v>
      </c>
      <c r="S126" s="3">
        <v>0</v>
      </c>
      <c r="T126" s="3">
        <v>52</v>
      </c>
      <c r="U126" s="3">
        <v>87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441.28</v>
      </c>
      <c r="X126" s="4">
        <f>IF(ISERROR(VLOOKUP($U$126,'TAR FIN'!$A$1:$O$88,15,0)),0,VLOOKUP($U$126,'TAR FIN'!$A$1:$O$88,15,0))</f>
        <v>150.26</v>
      </c>
      <c r="Y126" s="4"/>
      <c r="Z126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6" s="4">
        <f>('TE BE'!$AB$14+'TE BF'!$AB$14+'TE CVA'!$AB$14)*(1-CUSTOS!$M$37)</f>
        <v>136.62265710865657</v>
      </c>
      <c r="AB126" s="4">
        <f t="shared" si="6"/>
        <v>0</v>
      </c>
      <c r="AC126" s="4">
        <f>(L126-M126)*(W126+X126)+($W$116+$X$116-$W$126-$X$126)*(L126)</f>
        <v>0</v>
      </c>
      <c r="AD126" s="4">
        <f t="shared" si="7"/>
        <v>0</v>
      </c>
      <c r="AE126" s="4">
        <f ca="1">(L126-M126)*(Z126+AA126)+($Z$116+$AA$116-$Z$126-$AA$126)*(L126)</f>
        <v>-5.5877080740174279E-13</v>
      </c>
      <c r="AF126" s="3" t="s">
        <v>649</v>
      </c>
    </row>
    <row r="127" spans="1:32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32</v>
      </c>
      <c r="F127" s="3" t="s">
        <v>25</v>
      </c>
      <c r="G127" s="3" t="s">
        <v>25</v>
      </c>
      <c r="H127" s="3" t="s">
        <v>25</v>
      </c>
      <c r="I127" s="6">
        <v>44682</v>
      </c>
      <c r="J127" s="4">
        <v>0</v>
      </c>
      <c r="K127" s="4">
        <v>0</v>
      </c>
      <c r="L127" s="4">
        <v>13.004</v>
      </c>
      <c r="M127" s="4">
        <v>13.004</v>
      </c>
      <c r="N127" s="4">
        <v>13.004</v>
      </c>
      <c r="O127" s="4">
        <v>13.004</v>
      </c>
      <c r="P127" s="4">
        <v>186</v>
      </c>
      <c r="Q127" s="3" t="s">
        <v>26</v>
      </c>
      <c r="R127" s="3">
        <v>0</v>
      </c>
      <c r="S127" s="3">
        <v>0</v>
      </c>
      <c r="T127" s="3">
        <v>52</v>
      </c>
      <c r="U127" s="3">
        <v>87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441.28</v>
      </c>
      <c r="X127" s="4">
        <f>IF(ISERROR(VLOOKUP($U$127,'TAR FIN'!$A$1:$O$88,15,0)),0,VLOOKUP($U$127,'TAR FIN'!$A$1:$O$88,15,0))</f>
        <v>150.26</v>
      </c>
      <c r="Y127" s="4"/>
      <c r="Z127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7" s="4">
        <f>('TE BE'!$AB$14+'TE BF'!$AB$14+'TE CVA'!$AB$14)*(1-CUSTOS!$M$37)</f>
        <v>136.62265710865657</v>
      </c>
      <c r="AB127" s="4">
        <f t="shared" si="6"/>
        <v>0</v>
      </c>
      <c r="AC127" s="4">
        <f>(L127-M127)*(W127+X127)+($W$116+$X$116-$W$127-$X$127)*(L127)</f>
        <v>0</v>
      </c>
      <c r="AD127" s="4">
        <f t="shared" si="7"/>
        <v>0</v>
      </c>
      <c r="AE127" s="4">
        <f ca="1">(L127-M127)*(Z127+AA127)+($Z$116+$AA$116-$Z$127-$AA$127)*(L127)</f>
        <v>-3.695959094329737E-13</v>
      </c>
      <c r="AF127" s="3" t="s">
        <v>649</v>
      </c>
    </row>
    <row r="128" spans="1:32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32</v>
      </c>
      <c r="F128" s="3" t="s">
        <v>25</v>
      </c>
      <c r="G128" s="3" t="s">
        <v>25</v>
      </c>
      <c r="H128" s="3" t="s">
        <v>25</v>
      </c>
      <c r="I128" s="6">
        <v>44713</v>
      </c>
      <c r="J128" s="4">
        <v>0</v>
      </c>
      <c r="K128" s="4">
        <v>0</v>
      </c>
      <c r="L128" s="4">
        <v>18.523</v>
      </c>
      <c r="M128" s="4">
        <v>18.523</v>
      </c>
      <c r="N128" s="4">
        <v>18.523</v>
      </c>
      <c r="O128" s="4">
        <v>18.523</v>
      </c>
      <c r="P128" s="4">
        <v>197</v>
      </c>
      <c r="Q128" s="3" t="s">
        <v>26</v>
      </c>
      <c r="R128" s="3">
        <v>0</v>
      </c>
      <c r="S128" s="3">
        <v>0</v>
      </c>
      <c r="T128" s="3">
        <v>52</v>
      </c>
      <c r="U128" s="3">
        <v>87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441.28</v>
      </c>
      <c r="X128" s="4">
        <f>IF(ISERROR(VLOOKUP($U$128,'TAR FIN'!$A$1:$O$88,15,0)),0,VLOOKUP($U$128,'TAR FIN'!$A$1:$O$88,15,0))</f>
        <v>150.26</v>
      </c>
      <c r="Y128" s="4"/>
      <c r="Z128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8" s="4">
        <f>('TE BE'!$AB$14+'TE BF'!$AB$14+'TE CVA'!$AB$14)*(1-CUSTOS!$M$37)</f>
        <v>136.62265710865657</v>
      </c>
      <c r="AB128" s="4">
        <f t="shared" si="6"/>
        <v>0</v>
      </c>
      <c r="AC128" s="4">
        <f>(L128-M128)*(W128+X128)+($W$116+$X$116-$W$128-$X$128)*(L128)</f>
        <v>0</v>
      </c>
      <c r="AD128" s="4">
        <f t="shared" si="7"/>
        <v>0</v>
      </c>
      <c r="AE128" s="4">
        <f ca="1">(L128-M128)*(Z128+AA128)+($Z$116+$AA$116-$Z$128-$AA$128)*(L128)</f>
        <v>-5.2645532377937342E-13</v>
      </c>
      <c r="AF128" s="3" t="s">
        <v>649</v>
      </c>
    </row>
    <row r="129" spans="1:32" ht="11.25" customHeight="1" x14ac:dyDescent="0.25">
      <c r="A129" s="3" t="s">
        <v>27</v>
      </c>
      <c r="B129" s="3" t="s">
        <v>22</v>
      </c>
      <c r="C129" s="3" t="s">
        <v>23</v>
      </c>
      <c r="D129" s="3" t="s">
        <v>24</v>
      </c>
      <c r="E129" s="3" t="s">
        <v>32</v>
      </c>
      <c r="F129" s="3" t="s">
        <v>25</v>
      </c>
      <c r="G129" s="3" t="s">
        <v>25</v>
      </c>
      <c r="H129" s="3" t="s">
        <v>25</v>
      </c>
      <c r="I129" s="6">
        <v>44713</v>
      </c>
      <c r="J129" s="4">
        <v>0</v>
      </c>
      <c r="K129" s="4">
        <v>0</v>
      </c>
      <c r="L129" s="4">
        <v>0.309</v>
      </c>
      <c r="M129" s="4">
        <v>0.309</v>
      </c>
      <c r="N129" s="4">
        <v>0.309</v>
      </c>
      <c r="O129" s="4">
        <v>0.309</v>
      </c>
      <c r="P129" s="4">
        <v>0</v>
      </c>
      <c r="Q129" s="3" t="s">
        <v>26</v>
      </c>
      <c r="R129" s="3">
        <v>0</v>
      </c>
      <c r="S129" s="3">
        <v>0</v>
      </c>
      <c r="T129" s="3">
        <v>52</v>
      </c>
      <c r="U129" s="3">
        <v>87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441.28</v>
      </c>
      <c r="X129" s="4">
        <f>IF(ISERROR(VLOOKUP($U$129,'TAR FIN'!$A$1:$O$88,15,0)),0,VLOOKUP($U$129,'TAR FIN'!$A$1:$O$88,15,0))</f>
        <v>150.26</v>
      </c>
      <c r="Y129" s="4"/>
      <c r="Z129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29" s="4">
        <f>('TE BE'!$AB$14+'TE BF'!$AB$14+'TE CVA'!$AB$14)*(1-CUSTOS!$M$37)</f>
        <v>136.62265710865657</v>
      </c>
      <c r="AB129" s="4">
        <f t="shared" si="6"/>
        <v>0</v>
      </c>
      <c r="AC129" s="4">
        <f>(L129-M129)*(W129+X129)+($W$116+$X$116-$W$129-$X$129)*(L129)</f>
        <v>0</v>
      </c>
      <c r="AD129" s="4">
        <f t="shared" si="7"/>
        <v>0</v>
      </c>
      <c r="AE129" s="4">
        <f ca="1">(L129-M129)*(Z129+AA129)+($Z$116+$AA$116-$Z$129-$AA$129)*(L129)</f>
        <v>-8.7823082139948382E-15</v>
      </c>
      <c r="AF129" s="3" t="s">
        <v>649</v>
      </c>
    </row>
    <row r="130" spans="1:32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32</v>
      </c>
      <c r="F130" s="3" t="s">
        <v>25</v>
      </c>
      <c r="G130" s="3" t="s">
        <v>25</v>
      </c>
      <c r="H130" s="3" t="s">
        <v>25</v>
      </c>
      <c r="I130" s="6">
        <v>44743</v>
      </c>
      <c r="J130" s="4">
        <v>0</v>
      </c>
      <c r="K130" s="4">
        <v>0</v>
      </c>
      <c r="L130" s="4">
        <v>18.992000000000001</v>
      </c>
      <c r="M130" s="4">
        <v>18.992000000000001</v>
      </c>
      <c r="N130" s="4">
        <v>18.992000000000001</v>
      </c>
      <c r="O130" s="4">
        <v>18.992000000000001</v>
      </c>
      <c r="P130" s="4">
        <v>189</v>
      </c>
      <c r="Q130" s="3" t="s">
        <v>26</v>
      </c>
      <c r="R130" s="3">
        <v>0</v>
      </c>
      <c r="S130" s="3">
        <v>0</v>
      </c>
      <c r="T130" s="3">
        <v>52</v>
      </c>
      <c r="U130" s="3">
        <v>87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441.28</v>
      </c>
      <c r="X130" s="4">
        <f>IF(ISERROR(VLOOKUP($U$130,'TAR FIN'!$A$1:$O$88,15,0)),0,VLOOKUP($U$130,'TAR FIN'!$A$1:$O$88,15,0))</f>
        <v>150.26</v>
      </c>
      <c r="Y130" s="4"/>
      <c r="Z130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30" s="4">
        <f>('TE BE'!$AB$14+'TE BF'!$AB$14+'TE CVA'!$AB$14)*(1-CUSTOS!$M$37)</f>
        <v>136.62265710865657</v>
      </c>
      <c r="AB130" s="4">
        <f t="shared" ref="AB130:AB190" si="8">(J130-K130)*V130</f>
        <v>0</v>
      </c>
      <c r="AC130" s="4">
        <f>(L130-M130)*(W130+X130)+($W$116+$X$116-$W$130-$X$130)*(L130)</f>
        <v>0</v>
      </c>
      <c r="AD130" s="4">
        <f t="shared" ref="AD130:AD190" si="9">(J130-K130)*Y130</f>
        <v>0</v>
      </c>
      <c r="AE130" s="4">
        <f ca="1">(L130-M130)*(Z130+AA130)+($Z$116+$AA$116-$Z$130-$AA$130)*(L130)</f>
        <v>-5.3978510550223293E-13</v>
      </c>
      <c r="AF130" s="3" t="s">
        <v>649</v>
      </c>
    </row>
    <row r="131" spans="1:32" ht="11.25" customHeight="1" x14ac:dyDescent="0.25">
      <c r="A131" s="3" t="s">
        <v>27</v>
      </c>
      <c r="B131" s="3" t="s">
        <v>22</v>
      </c>
      <c r="C131" s="3" t="s">
        <v>23</v>
      </c>
      <c r="D131" s="3" t="s">
        <v>24</v>
      </c>
      <c r="E131" s="3" t="s">
        <v>32</v>
      </c>
      <c r="F131" s="3" t="s">
        <v>25</v>
      </c>
      <c r="G131" s="3" t="s">
        <v>25</v>
      </c>
      <c r="H131" s="3" t="s">
        <v>25</v>
      </c>
      <c r="I131" s="6">
        <v>44743</v>
      </c>
      <c r="J131" s="4">
        <v>0</v>
      </c>
      <c r="K131" s="4">
        <v>0</v>
      </c>
      <c r="L131" s="4">
        <v>0.313</v>
      </c>
      <c r="M131" s="4">
        <v>0.313</v>
      </c>
      <c r="N131" s="4">
        <v>0.313</v>
      </c>
      <c r="O131" s="4">
        <v>0.313</v>
      </c>
      <c r="P131" s="4">
        <v>0</v>
      </c>
      <c r="Q131" s="3" t="s">
        <v>26</v>
      </c>
      <c r="R131" s="3">
        <v>0</v>
      </c>
      <c r="S131" s="3">
        <v>0</v>
      </c>
      <c r="T131" s="3">
        <v>52</v>
      </c>
      <c r="U131" s="3">
        <v>87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441.28</v>
      </c>
      <c r="X131" s="4">
        <f>IF(ISERROR(VLOOKUP($U$131,'TAR FIN'!$A$1:$O$88,15,0)),0,VLOOKUP($U$131,'TAR FIN'!$A$1:$O$88,15,0))</f>
        <v>150.26</v>
      </c>
      <c r="Y131" s="4"/>
      <c r="Z131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31" s="4">
        <f>('TE BE'!$AB$14+'TE BF'!$AB$14+'TE CVA'!$AB$14)*(1-CUSTOS!$M$37)</f>
        <v>136.62265710865657</v>
      </c>
      <c r="AB131" s="4">
        <f t="shared" si="8"/>
        <v>0</v>
      </c>
      <c r="AC131" s="4">
        <f>(L131-M131)*(W131+X131)+($W$116+$X$116-$W$131-$X$131)*(L131)</f>
        <v>0</v>
      </c>
      <c r="AD131" s="4">
        <f t="shared" si="9"/>
        <v>0</v>
      </c>
      <c r="AE131" s="4">
        <f ca="1">(L131-M131)*(Z131+AA131)+($Z$116+$AA$116-$Z$131-$AA$131)*(L131)</f>
        <v>-8.8959950517164543E-15</v>
      </c>
      <c r="AF131" s="3" t="s">
        <v>649</v>
      </c>
    </row>
    <row r="132" spans="1:32" ht="11.25" customHeight="1" x14ac:dyDescent="0.25">
      <c r="A132" s="3" t="s">
        <v>55</v>
      </c>
      <c r="B132" s="3" t="s">
        <v>22</v>
      </c>
      <c r="C132" s="3" t="s">
        <v>23</v>
      </c>
      <c r="D132" s="3" t="s">
        <v>24</v>
      </c>
      <c r="E132" s="3" t="s">
        <v>32</v>
      </c>
      <c r="F132" s="3" t="s">
        <v>25</v>
      </c>
      <c r="G132" s="3" t="s">
        <v>25</v>
      </c>
      <c r="H132" s="3" t="s">
        <v>25</v>
      </c>
      <c r="I132" s="6">
        <v>44774</v>
      </c>
      <c r="J132" s="4">
        <v>0</v>
      </c>
      <c r="K132" s="4">
        <v>0</v>
      </c>
      <c r="L132" s="4">
        <v>18.992000000000001</v>
      </c>
      <c r="M132" s="4">
        <v>18.992000000000001</v>
      </c>
      <c r="N132" s="4">
        <v>18.992000000000001</v>
      </c>
      <c r="O132" s="4">
        <v>18.992000000000001</v>
      </c>
      <c r="P132" s="4">
        <v>189</v>
      </c>
      <c r="Q132" s="3" t="s">
        <v>26</v>
      </c>
      <c r="R132" s="3">
        <v>0</v>
      </c>
      <c r="S132" s="3">
        <v>0</v>
      </c>
      <c r="T132" s="3">
        <v>52</v>
      </c>
      <c r="U132" s="3">
        <v>87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441.28</v>
      </c>
      <c r="X132" s="4">
        <f>IF(ISERROR(VLOOKUP($U$132,'TAR FIN'!$A$1:$O$88,15,0)),0,VLOOKUP($U$132,'TAR FIN'!$A$1:$O$88,15,0))</f>
        <v>150.26</v>
      </c>
      <c r="Y132" s="4"/>
      <c r="Z132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32" s="4">
        <f>('TE BE'!$AB$14+'TE BF'!$AB$14+'TE CVA'!$AB$14)*(1-CUSTOS!$M$37)</f>
        <v>136.62265710865657</v>
      </c>
      <c r="AB132" s="4">
        <f t="shared" si="8"/>
        <v>0</v>
      </c>
      <c r="AC132" s="4">
        <f>(L132-M132)*(W132+X132)+($W$116+$X$116-$W$132-$X$132)*(L132)</f>
        <v>0</v>
      </c>
      <c r="AD132" s="4">
        <f t="shared" si="9"/>
        <v>0</v>
      </c>
      <c r="AE132" s="4">
        <f ca="1">(L132-M132)*(Z132+AA132)+($Z$116+$AA$116-$Z$132-$AA$132)*(L132)</f>
        <v>-5.3978510550223293E-13</v>
      </c>
      <c r="AF132" s="3" t="s">
        <v>649</v>
      </c>
    </row>
    <row r="133" spans="1:32" ht="11.25" customHeight="1" x14ac:dyDescent="0.25">
      <c r="A133" s="3" t="s">
        <v>55</v>
      </c>
      <c r="B133" s="3" t="s">
        <v>22</v>
      </c>
      <c r="C133" s="3" t="s">
        <v>23</v>
      </c>
      <c r="D133" s="3" t="s">
        <v>24</v>
      </c>
      <c r="E133" s="3" t="s">
        <v>32</v>
      </c>
      <c r="F133" s="3" t="s">
        <v>25</v>
      </c>
      <c r="G133" s="3" t="s">
        <v>25</v>
      </c>
      <c r="H133" s="3" t="s">
        <v>25</v>
      </c>
      <c r="I133" s="6">
        <v>44774</v>
      </c>
      <c r="J133" s="4">
        <v>0</v>
      </c>
      <c r="K133" s="4">
        <v>0</v>
      </c>
      <c r="L133" s="4">
        <v>0.313</v>
      </c>
      <c r="M133" s="4">
        <v>0.313</v>
      </c>
      <c r="N133" s="4">
        <v>0.313</v>
      </c>
      <c r="O133" s="4">
        <v>0.313</v>
      </c>
      <c r="P133" s="4">
        <v>0</v>
      </c>
      <c r="Q133" s="3" t="s">
        <v>26</v>
      </c>
      <c r="R133" s="3">
        <v>0</v>
      </c>
      <c r="S133" s="3">
        <v>0</v>
      </c>
      <c r="T133" s="3">
        <v>52</v>
      </c>
      <c r="U133" s="3">
        <v>87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441.28</v>
      </c>
      <c r="X133" s="4">
        <f>IF(ISERROR(VLOOKUP($U$133,'TAR FIN'!$A$1:$O$88,15,0)),0,VLOOKUP($U$133,'TAR FIN'!$A$1:$O$88,15,0))</f>
        <v>150.26</v>
      </c>
      <c r="Y133" s="4"/>
      <c r="Z133" s="4">
        <f ca="1">('TUSD BE'!$AM$24+'TUSD BF'!$AM$24+'TUSD CVA'!$AM$24-('TUSD BE'!$P$24+'TUSD BF'!$P$24+'TUSD CVA'!$P$24)-('TUSD BE'!$Q$24+'TUSD BF'!$Q$24+'TUSD CVA'!$Q$24)-('TUSD BE'!$R$24+'TUSD BF'!$R$24+'TUSD CVA'!$R$24))*(1-CUSTOS!$M$37)</f>
        <v>488.06306165352123</v>
      </c>
      <c r="AA133" s="4">
        <f>('TE BE'!$AB$14+'TE BF'!$AB$14+'TE CVA'!$AB$14)*(1-CUSTOS!$M$37)</f>
        <v>136.62265710865657</v>
      </c>
      <c r="AB133" s="4">
        <f t="shared" si="8"/>
        <v>0</v>
      </c>
      <c r="AC133" s="4">
        <f>(L133-M133)*(W133+X133)+($W$116+$X$116-$W$133-$X$133)*(L133)</f>
        <v>0</v>
      </c>
      <c r="AD133" s="4">
        <f t="shared" si="9"/>
        <v>0</v>
      </c>
      <c r="AE133" s="4">
        <f ca="1">(L133-M133)*(Z133+AA133)+($Z$116+$AA$116-$Z$133-$AA$133)*(L133)</f>
        <v>-8.8959950517164543E-15</v>
      </c>
      <c r="AF133" s="3" t="s">
        <v>649</v>
      </c>
    </row>
    <row r="134" spans="1:32" ht="11.25" customHeight="1" x14ac:dyDescent="0.25">
      <c r="A134" s="3" t="s">
        <v>21</v>
      </c>
      <c r="B134" s="3" t="s">
        <v>43</v>
      </c>
      <c r="C134" s="3" t="s">
        <v>23</v>
      </c>
      <c r="D134" s="3" t="s">
        <v>44</v>
      </c>
      <c r="E134" s="3" t="s">
        <v>52</v>
      </c>
      <c r="F134" s="3" t="s">
        <v>53</v>
      </c>
      <c r="G134" s="3" t="s">
        <v>25</v>
      </c>
      <c r="H134" s="3" t="s">
        <v>25</v>
      </c>
      <c r="I134" s="6">
        <v>44440</v>
      </c>
      <c r="J134" s="4">
        <v>0</v>
      </c>
      <c r="K134" s="4">
        <v>0</v>
      </c>
      <c r="L134" s="4">
        <v>0.94</v>
      </c>
      <c r="M134" s="4">
        <v>0.94</v>
      </c>
      <c r="N134" s="4">
        <v>0.94</v>
      </c>
      <c r="O134" s="4">
        <v>0.94</v>
      </c>
      <c r="P134" s="4">
        <v>0</v>
      </c>
      <c r="Q134" s="3" t="s">
        <v>26</v>
      </c>
      <c r="R134" s="3">
        <v>0</v>
      </c>
      <c r="S134" s="3">
        <v>0</v>
      </c>
      <c r="T134" s="3">
        <v>55</v>
      </c>
      <c r="U134" s="3">
        <v>20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441.31</v>
      </c>
      <c r="X134" s="4">
        <f>IF(ISERROR(VLOOKUP($U$134,'TAR FIN'!$A$1:$O$88,15,0)),0,VLOOKUP($U$134,'TAR FIN'!$A$1:$O$88,15,0))</f>
        <v>132.22999999999999</v>
      </c>
      <c r="Y134" s="4"/>
      <c r="Z134" s="4">
        <f ca="1">('TUSD BE'!$AM$33+'TUSD BF'!$AM$33+'TUSD CVA'!$AM$33)*(1-CUSTOS!$M$38)</f>
        <v>554.80001091929842</v>
      </c>
      <c r="AA134" s="4">
        <f>('TE BE'!$AB$23+'TE BF'!$AB$23+'TE CVA'!$AB$23)*(1-CUSTOS!$M$38)</f>
        <v>128.42529768213717</v>
      </c>
      <c r="AB134" s="4">
        <f t="shared" si="8"/>
        <v>0</v>
      </c>
      <c r="AC134" s="4">
        <f>(L134-M134)*(W134+X134)+($W$64+$X$64-$W$134-$X$134)*(L134)</f>
        <v>73.50800000000001</v>
      </c>
      <c r="AD134" s="4">
        <f t="shared" si="9"/>
        <v>0</v>
      </c>
      <c r="AE134" s="4">
        <f ca="1">(L134-M134)*(Z134+AA134)+($Z$64+$AA$64-$Z$134-$AA$134)*(L134)</f>
        <v>40.993518516086112</v>
      </c>
      <c r="AF134" s="3" t="s">
        <v>647</v>
      </c>
    </row>
    <row r="135" spans="1:32" ht="11.25" customHeight="1" x14ac:dyDescent="0.25">
      <c r="A135" s="3" t="s">
        <v>21</v>
      </c>
      <c r="B135" s="3" t="s">
        <v>43</v>
      </c>
      <c r="C135" s="3" t="s">
        <v>23</v>
      </c>
      <c r="D135" s="3" t="s">
        <v>44</v>
      </c>
      <c r="E135" s="3" t="s">
        <v>52</v>
      </c>
      <c r="F135" s="3" t="s">
        <v>53</v>
      </c>
      <c r="G135" s="3" t="s">
        <v>25</v>
      </c>
      <c r="H135" s="3" t="s">
        <v>25</v>
      </c>
      <c r="I135" s="6">
        <v>44470</v>
      </c>
      <c r="J135" s="4">
        <v>0</v>
      </c>
      <c r="K135" s="4">
        <v>0</v>
      </c>
      <c r="L135" s="4">
        <v>1.0900000000000001</v>
      </c>
      <c r="M135" s="4">
        <v>1.0900000000000001</v>
      </c>
      <c r="N135" s="4">
        <v>1.0900000000000001</v>
      </c>
      <c r="O135" s="4">
        <v>1.0900000000000001</v>
      </c>
      <c r="P135" s="4">
        <v>0</v>
      </c>
      <c r="Q135" s="3" t="s">
        <v>26</v>
      </c>
      <c r="R135" s="3">
        <v>0</v>
      </c>
      <c r="S135" s="3">
        <v>0</v>
      </c>
      <c r="T135" s="3">
        <v>55</v>
      </c>
      <c r="U135" s="3">
        <v>20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441.31</v>
      </c>
      <c r="X135" s="4">
        <f>IF(ISERROR(VLOOKUP($U$135,'TAR FIN'!$A$1:$O$88,15,0)),0,VLOOKUP($U$135,'TAR FIN'!$A$1:$O$88,15,0))</f>
        <v>132.22999999999999</v>
      </c>
      <c r="Y135" s="4"/>
      <c r="Z135" s="4">
        <f ca="1">('TUSD BE'!$AM$33+'TUSD BF'!$AM$33+'TUSD CVA'!$AM$33)*(1-CUSTOS!$M$38)</f>
        <v>554.80001091929842</v>
      </c>
      <c r="AA135" s="4">
        <f>('TE BE'!$AB$23+'TE BF'!$AB$23+'TE CVA'!$AB$23)*(1-CUSTOS!$M$38)</f>
        <v>128.42529768213717</v>
      </c>
      <c r="AB135" s="4">
        <f t="shared" si="8"/>
        <v>0</v>
      </c>
      <c r="AC135" s="4">
        <f>(L135-M135)*(W135+X135)+($W$64+$X$64-$W$135-$X$135)*(L135)</f>
        <v>85.238000000000028</v>
      </c>
      <c r="AD135" s="4">
        <f t="shared" si="9"/>
        <v>0</v>
      </c>
      <c r="AE135" s="4">
        <f ca="1">(L135-M135)*(Z135+AA135)+($Z$64+$AA$64-$Z$135-$AA$135)*(L135)</f>
        <v>47.535037428227525</v>
      </c>
      <c r="AF135" s="3" t="s">
        <v>647</v>
      </c>
    </row>
    <row r="136" spans="1:32" ht="11.25" customHeight="1" x14ac:dyDescent="0.25">
      <c r="A136" s="3" t="s">
        <v>21</v>
      </c>
      <c r="B136" s="3" t="s">
        <v>43</v>
      </c>
      <c r="C136" s="3" t="s">
        <v>23</v>
      </c>
      <c r="D136" s="3" t="s">
        <v>44</v>
      </c>
      <c r="E136" s="3" t="s">
        <v>52</v>
      </c>
      <c r="F136" s="3" t="s">
        <v>53</v>
      </c>
      <c r="G136" s="3" t="s">
        <v>25</v>
      </c>
      <c r="H136" s="3" t="s">
        <v>25</v>
      </c>
      <c r="I136" s="6">
        <v>44501</v>
      </c>
      <c r="J136" s="4">
        <v>0</v>
      </c>
      <c r="K136" s="4">
        <v>0</v>
      </c>
      <c r="L136" s="4">
        <v>2.355</v>
      </c>
      <c r="M136" s="4">
        <v>2.355</v>
      </c>
      <c r="N136" s="4">
        <v>2.355</v>
      </c>
      <c r="O136" s="4">
        <v>2.355</v>
      </c>
      <c r="P136" s="4">
        <v>0</v>
      </c>
      <c r="Q136" s="3" t="s">
        <v>26</v>
      </c>
      <c r="R136" s="3">
        <v>0</v>
      </c>
      <c r="S136" s="3">
        <v>0</v>
      </c>
      <c r="T136" s="3">
        <v>55</v>
      </c>
      <c r="U136" s="3">
        <v>20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441.31</v>
      </c>
      <c r="X136" s="4">
        <f>IF(ISERROR(VLOOKUP($U$136,'TAR FIN'!$A$1:$O$88,15,0)),0,VLOOKUP($U$136,'TAR FIN'!$A$1:$O$88,15,0))</f>
        <v>132.22999999999999</v>
      </c>
      <c r="Y136" s="4"/>
      <c r="Z136" s="4">
        <f ca="1">('TUSD BE'!$AM$33+'TUSD BF'!$AM$33+'TUSD CVA'!$AM$33)*(1-CUSTOS!$M$38)</f>
        <v>554.80001091929842</v>
      </c>
      <c r="AA136" s="4">
        <f>('TE BE'!$AB$23+'TE BF'!$AB$23+'TE CVA'!$AB$23)*(1-CUSTOS!$M$38)</f>
        <v>128.42529768213717</v>
      </c>
      <c r="AB136" s="4">
        <f t="shared" si="8"/>
        <v>0</v>
      </c>
      <c r="AC136" s="4">
        <f>(L136-M136)*(W136+X136)+($W$64+$X$64-$W$136-$X$136)*(L136)</f>
        <v>184.16100000000003</v>
      </c>
      <c r="AD136" s="4">
        <f t="shared" si="9"/>
        <v>0</v>
      </c>
      <c r="AE136" s="4">
        <f ca="1">(L136-M136)*(Z136+AA136)+($Z$64+$AA$64-$Z$136-$AA$136)*(L136)</f>
        <v>102.70184692062</v>
      </c>
      <c r="AF136" s="3" t="s">
        <v>647</v>
      </c>
    </row>
    <row r="137" spans="1:32" ht="11.25" customHeight="1" x14ac:dyDescent="0.25">
      <c r="A137" s="3" t="s">
        <v>21</v>
      </c>
      <c r="B137" s="3" t="s">
        <v>43</v>
      </c>
      <c r="C137" s="3" t="s">
        <v>23</v>
      </c>
      <c r="D137" s="3" t="s">
        <v>44</v>
      </c>
      <c r="E137" s="3" t="s">
        <v>52</v>
      </c>
      <c r="F137" s="3" t="s">
        <v>53</v>
      </c>
      <c r="G137" s="3" t="s">
        <v>25</v>
      </c>
      <c r="H137" s="3" t="s">
        <v>25</v>
      </c>
      <c r="I137" s="6">
        <v>44531</v>
      </c>
      <c r="J137" s="4">
        <v>0</v>
      </c>
      <c r="K137" s="4">
        <v>0</v>
      </c>
      <c r="L137" s="4">
        <v>3.3730000000000002</v>
      </c>
      <c r="M137" s="4">
        <v>3.3730000000000002</v>
      </c>
      <c r="N137" s="4">
        <v>3.3730000000000002</v>
      </c>
      <c r="O137" s="4">
        <v>3.3730000000000002</v>
      </c>
      <c r="P137" s="4">
        <v>0</v>
      </c>
      <c r="Q137" s="3" t="s">
        <v>26</v>
      </c>
      <c r="R137" s="3">
        <v>0</v>
      </c>
      <c r="S137" s="3">
        <v>0</v>
      </c>
      <c r="T137" s="3">
        <v>55</v>
      </c>
      <c r="U137" s="3">
        <v>20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441.31</v>
      </c>
      <c r="X137" s="4">
        <f>IF(ISERROR(VLOOKUP($U$137,'TAR FIN'!$A$1:$O$88,15,0)),0,VLOOKUP($U$137,'TAR FIN'!$A$1:$O$88,15,0))</f>
        <v>132.22999999999999</v>
      </c>
      <c r="Y137" s="4"/>
      <c r="Z137" s="4">
        <f ca="1">('TUSD BE'!$AM$33+'TUSD BF'!$AM$33+'TUSD CVA'!$AM$33)*(1-CUSTOS!$M$38)</f>
        <v>554.80001091929842</v>
      </c>
      <c r="AA137" s="4">
        <f>('TE BE'!$AB$23+'TE BF'!$AB$23+'TE CVA'!$AB$23)*(1-CUSTOS!$M$38)</f>
        <v>128.42529768213717</v>
      </c>
      <c r="AB137" s="4">
        <f t="shared" si="8"/>
        <v>0</v>
      </c>
      <c r="AC137" s="4">
        <f>(L137-M137)*(W137+X137)+($W$64+$X$64-$W$137-$X$137)*(L137)</f>
        <v>263.76860000000005</v>
      </c>
      <c r="AD137" s="4">
        <f t="shared" si="9"/>
        <v>0</v>
      </c>
      <c r="AE137" s="4">
        <f ca="1">(L137-M137)*(Z137+AA137)+($Z$64+$AA$64-$Z$137-$AA$137)*(L137)</f>
        <v>147.09695527101965</v>
      </c>
      <c r="AF137" s="3" t="s">
        <v>647</v>
      </c>
    </row>
    <row r="138" spans="1:32" ht="11.25" customHeight="1" x14ac:dyDescent="0.25">
      <c r="A138" s="3" t="s">
        <v>21</v>
      </c>
      <c r="B138" s="3" t="s">
        <v>43</v>
      </c>
      <c r="C138" s="3" t="s">
        <v>23</v>
      </c>
      <c r="D138" s="3" t="s">
        <v>44</v>
      </c>
      <c r="E138" s="3" t="s">
        <v>52</v>
      </c>
      <c r="F138" s="3" t="s">
        <v>53</v>
      </c>
      <c r="G138" s="3" t="s">
        <v>25</v>
      </c>
      <c r="H138" s="3" t="s">
        <v>25</v>
      </c>
      <c r="I138" s="6">
        <v>44562</v>
      </c>
      <c r="J138" s="4">
        <v>0</v>
      </c>
      <c r="K138" s="4">
        <v>0</v>
      </c>
      <c r="L138" s="4">
        <v>2.536</v>
      </c>
      <c r="M138" s="4">
        <v>2.536</v>
      </c>
      <c r="N138" s="4">
        <v>2.536</v>
      </c>
      <c r="O138" s="4">
        <v>2.536</v>
      </c>
      <c r="P138" s="4">
        <v>0</v>
      </c>
      <c r="Q138" s="3" t="s">
        <v>26</v>
      </c>
      <c r="R138" s="3">
        <v>0</v>
      </c>
      <c r="S138" s="3">
        <v>0</v>
      </c>
      <c r="T138" s="3">
        <v>55</v>
      </c>
      <c r="U138" s="3">
        <v>20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441.31</v>
      </c>
      <c r="X138" s="4">
        <f>IF(ISERROR(VLOOKUP($U$138,'TAR FIN'!$A$1:$O$88,15,0)),0,VLOOKUP($U$138,'TAR FIN'!$A$1:$O$88,15,0))</f>
        <v>132.22999999999999</v>
      </c>
      <c r="Y138" s="4"/>
      <c r="Z138" s="4">
        <f ca="1">('TUSD BE'!$AM$33+'TUSD BF'!$AM$33+'TUSD CVA'!$AM$33)*(1-CUSTOS!$M$38)</f>
        <v>554.80001091929842</v>
      </c>
      <c r="AA138" s="4">
        <f>('TE BE'!$AB$23+'TE BF'!$AB$23+'TE CVA'!$AB$23)*(1-CUSTOS!$M$38)</f>
        <v>128.42529768213717</v>
      </c>
      <c r="AB138" s="4">
        <f t="shared" si="8"/>
        <v>0</v>
      </c>
      <c r="AC138" s="4">
        <f>(L138-M138)*(W138+X138)+($W$64+$X$64-$W$138-$X$138)*(L138)</f>
        <v>198.31520000000003</v>
      </c>
      <c r="AD138" s="4">
        <f t="shared" si="9"/>
        <v>0</v>
      </c>
      <c r="AE138" s="4">
        <f ca="1">(L138-M138)*(Z138+AA138)+($Z$64+$AA$64-$Z$138-$AA$138)*(L138)</f>
        <v>110.59527974127063</v>
      </c>
      <c r="AF138" s="3" t="s">
        <v>647</v>
      </c>
    </row>
    <row r="139" spans="1:32" ht="11.25" customHeight="1" x14ac:dyDescent="0.25">
      <c r="A139" s="3" t="s">
        <v>21</v>
      </c>
      <c r="B139" s="3" t="s">
        <v>43</v>
      </c>
      <c r="C139" s="3" t="s">
        <v>23</v>
      </c>
      <c r="D139" s="3" t="s">
        <v>44</v>
      </c>
      <c r="E139" s="3" t="s">
        <v>52</v>
      </c>
      <c r="F139" s="3" t="s">
        <v>53</v>
      </c>
      <c r="G139" s="3" t="s">
        <v>25</v>
      </c>
      <c r="H139" s="3" t="s">
        <v>25</v>
      </c>
      <c r="I139" s="6">
        <v>44593</v>
      </c>
      <c r="J139" s="4">
        <v>0</v>
      </c>
      <c r="K139" s="4">
        <v>0</v>
      </c>
      <c r="L139" s="4">
        <v>3.2069999999999999</v>
      </c>
      <c r="M139" s="4">
        <v>3.2069999999999999</v>
      </c>
      <c r="N139" s="4">
        <v>3.2069999999999999</v>
      </c>
      <c r="O139" s="4">
        <v>3.2069999999999999</v>
      </c>
      <c r="P139" s="4">
        <v>0</v>
      </c>
      <c r="Q139" s="3" t="s">
        <v>26</v>
      </c>
      <c r="R139" s="3">
        <v>0</v>
      </c>
      <c r="S139" s="3">
        <v>0</v>
      </c>
      <c r="T139" s="3">
        <v>55</v>
      </c>
      <c r="U139" s="3">
        <v>20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441.31</v>
      </c>
      <c r="X139" s="4">
        <f>IF(ISERROR(VLOOKUP($U$139,'TAR FIN'!$A$1:$O$88,15,0)),0,VLOOKUP($U$139,'TAR FIN'!$A$1:$O$88,15,0))</f>
        <v>132.22999999999999</v>
      </c>
      <c r="Y139" s="4"/>
      <c r="Z139" s="4">
        <f ca="1">('TUSD BE'!$AM$33+'TUSD BF'!$AM$33+'TUSD CVA'!$AM$33)*(1-CUSTOS!$M$38)</f>
        <v>554.80001091929842</v>
      </c>
      <c r="AA139" s="4">
        <f>('TE BE'!$AB$23+'TE BF'!$AB$23+'TE CVA'!$AB$23)*(1-CUSTOS!$M$38)</f>
        <v>128.42529768213717</v>
      </c>
      <c r="AB139" s="4">
        <f t="shared" si="8"/>
        <v>0</v>
      </c>
      <c r="AC139" s="4">
        <f>(L139-M139)*(W139+X139)+($W$64+$X$64-$W$139-$X$139)*(L139)</f>
        <v>250.78740000000005</v>
      </c>
      <c r="AD139" s="4">
        <f t="shared" si="9"/>
        <v>0</v>
      </c>
      <c r="AE139" s="4">
        <f ca="1">(L139-M139)*(Z139+AA139)+($Z$64+$AA$64-$Z$139-$AA$139)*(L139)</f>
        <v>139.85767434158316</v>
      </c>
      <c r="AF139" s="3" t="s">
        <v>647</v>
      </c>
    </row>
    <row r="140" spans="1:32" ht="11.25" customHeight="1" x14ac:dyDescent="0.25">
      <c r="A140" s="3" t="s">
        <v>21</v>
      </c>
      <c r="B140" s="3" t="s">
        <v>43</v>
      </c>
      <c r="C140" s="3" t="s">
        <v>23</v>
      </c>
      <c r="D140" s="3" t="s">
        <v>44</v>
      </c>
      <c r="E140" s="3" t="s">
        <v>52</v>
      </c>
      <c r="F140" s="3" t="s">
        <v>53</v>
      </c>
      <c r="G140" s="3" t="s">
        <v>25</v>
      </c>
      <c r="H140" s="3" t="s">
        <v>25</v>
      </c>
      <c r="I140" s="6">
        <v>44621</v>
      </c>
      <c r="J140" s="4">
        <v>0</v>
      </c>
      <c r="K140" s="4">
        <v>0</v>
      </c>
      <c r="L140" s="4">
        <v>8.2249999999999996</v>
      </c>
      <c r="M140" s="4">
        <v>8.2249999999999996</v>
      </c>
      <c r="N140" s="4">
        <v>8.2249999999999996</v>
      </c>
      <c r="O140" s="4">
        <v>8.2249999999999996</v>
      </c>
      <c r="P140" s="4">
        <v>0</v>
      </c>
      <c r="Q140" s="3" t="s">
        <v>26</v>
      </c>
      <c r="R140" s="3">
        <v>0</v>
      </c>
      <c r="S140" s="3">
        <v>0</v>
      </c>
      <c r="T140" s="3">
        <v>55</v>
      </c>
      <c r="U140" s="3">
        <v>20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441.31</v>
      </c>
      <c r="X140" s="4">
        <f>IF(ISERROR(VLOOKUP($U$140,'TAR FIN'!$A$1:$O$88,15,0)),0,VLOOKUP($U$140,'TAR FIN'!$A$1:$O$88,15,0))</f>
        <v>132.22999999999999</v>
      </c>
      <c r="Y140" s="4"/>
      <c r="Z140" s="4">
        <f ca="1">('TUSD BE'!$AM$33+'TUSD BF'!$AM$33+'TUSD CVA'!$AM$33)*(1-CUSTOS!$M$38)</f>
        <v>554.80001091929842</v>
      </c>
      <c r="AA140" s="4">
        <f>('TE BE'!$AB$23+'TE BF'!$AB$23+'TE CVA'!$AB$23)*(1-CUSTOS!$M$38)</f>
        <v>128.42529768213717</v>
      </c>
      <c r="AB140" s="4">
        <f t="shared" si="8"/>
        <v>0</v>
      </c>
      <c r="AC140" s="4">
        <f>(L140-M140)*(W140+X140)+($W$64+$X$64-$W$140-$X$140)*(L140)</f>
        <v>643.19500000000016</v>
      </c>
      <c r="AD140" s="4">
        <f t="shared" si="9"/>
        <v>0</v>
      </c>
      <c r="AE140" s="4">
        <f ca="1">(L140-M140)*(Z140+AA140)+($Z$64+$AA$64-$Z$140-$AA$140)*(L140)</f>
        <v>358.69328701575353</v>
      </c>
      <c r="AF140" s="3" t="s">
        <v>647</v>
      </c>
    </row>
    <row r="141" spans="1:32" ht="11.25" customHeight="1" x14ac:dyDescent="0.25">
      <c r="A141" s="3" t="s">
        <v>21</v>
      </c>
      <c r="B141" s="3" t="s">
        <v>43</v>
      </c>
      <c r="C141" s="3" t="s">
        <v>23</v>
      </c>
      <c r="D141" s="3" t="s">
        <v>44</v>
      </c>
      <c r="E141" s="3" t="s">
        <v>52</v>
      </c>
      <c r="F141" s="3" t="s">
        <v>53</v>
      </c>
      <c r="G141" s="3" t="s">
        <v>25</v>
      </c>
      <c r="H141" s="3" t="s">
        <v>25</v>
      </c>
      <c r="I141" s="6">
        <v>44652</v>
      </c>
      <c r="J141" s="4">
        <v>0</v>
      </c>
      <c r="K141" s="4">
        <v>0</v>
      </c>
      <c r="L141" s="4">
        <v>2.2810000000000001</v>
      </c>
      <c r="M141" s="4">
        <v>2.2810000000000001</v>
      </c>
      <c r="N141" s="4">
        <v>2.2810000000000001</v>
      </c>
      <c r="O141" s="4">
        <v>2.2810000000000001</v>
      </c>
      <c r="P141" s="4">
        <v>0</v>
      </c>
      <c r="Q141" s="3" t="s">
        <v>26</v>
      </c>
      <c r="R141" s="3">
        <v>0</v>
      </c>
      <c r="S141" s="3">
        <v>0</v>
      </c>
      <c r="T141" s="3">
        <v>55</v>
      </c>
      <c r="U141" s="3">
        <v>20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441.31</v>
      </c>
      <c r="X141" s="4">
        <f>IF(ISERROR(VLOOKUP($U$141,'TAR FIN'!$A$1:$O$88,15,0)),0,VLOOKUP($U$141,'TAR FIN'!$A$1:$O$88,15,0))</f>
        <v>132.22999999999999</v>
      </c>
      <c r="Y141" s="4"/>
      <c r="Z141" s="4">
        <f ca="1">('TUSD BE'!$AM$33+'TUSD BF'!$AM$33+'TUSD CVA'!$AM$33)*(1-CUSTOS!$M$38)</f>
        <v>554.80001091929842</v>
      </c>
      <c r="AA141" s="4">
        <f>('TE BE'!$AB$23+'TE BF'!$AB$23+'TE CVA'!$AB$23)*(1-CUSTOS!$M$38)</f>
        <v>128.42529768213717</v>
      </c>
      <c r="AB141" s="4">
        <f t="shared" si="8"/>
        <v>0</v>
      </c>
      <c r="AC141" s="4">
        <f>(L141-M141)*(W141+X141)+($W$64+$X$64-$W$141-$X$141)*(L141)</f>
        <v>178.37420000000006</v>
      </c>
      <c r="AD141" s="4">
        <f t="shared" si="9"/>
        <v>0</v>
      </c>
      <c r="AE141" s="4">
        <f ca="1">(L141-M141)*(Z141+AA141)+($Z$64+$AA$64-$Z$141-$AA$141)*(L141)</f>
        <v>99.474697590630257</v>
      </c>
      <c r="AF141" s="3" t="s">
        <v>647</v>
      </c>
    </row>
    <row r="142" spans="1:32" ht="11.25" customHeight="1" x14ac:dyDescent="0.25">
      <c r="A142" s="3" t="s">
        <v>27</v>
      </c>
      <c r="B142" s="3" t="s">
        <v>43</v>
      </c>
      <c r="C142" s="3" t="s">
        <v>23</v>
      </c>
      <c r="D142" s="3" t="s">
        <v>44</v>
      </c>
      <c r="E142" s="3" t="s">
        <v>52</v>
      </c>
      <c r="F142" s="3" t="s">
        <v>53</v>
      </c>
      <c r="G142" s="3" t="s">
        <v>25</v>
      </c>
      <c r="H142" s="3" t="s">
        <v>25</v>
      </c>
      <c r="I142" s="6">
        <v>44652</v>
      </c>
      <c r="J142" s="4">
        <v>0</v>
      </c>
      <c r="K142" s="4">
        <v>0</v>
      </c>
      <c r="L142" s="4">
        <v>-5.9180000000000001</v>
      </c>
      <c r="M142" s="4">
        <v>-5.9180000000000001</v>
      </c>
      <c r="N142" s="4">
        <v>-5.9180000000000001</v>
      </c>
      <c r="O142" s="4">
        <v>-5.9180000000000001</v>
      </c>
      <c r="P142" s="4">
        <v>0</v>
      </c>
      <c r="Q142" s="3" t="s">
        <v>26</v>
      </c>
      <c r="R142" s="3">
        <v>0</v>
      </c>
      <c r="S142" s="3">
        <v>0</v>
      </c>
      <c r="T142" s="3">
        <v>55</v>
      </c>
      <c r="U142" s="3">
        <v>20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441.31</v>
      </c>
      <c r="X142" s="4">
        <f>IF(ISERROR(VLOOKUP($U$142,'TAR FIN'!$A$1:$O$88,15,0)),0,VLOOKUP($U$142,'TAR FIN'!$A$1:$O$88,15,0))</f>
        <v>132.22999999999999</v>
      </c>
      <c r="Y142" s="4"/>
      <c r="Z142" s="4">
        <f ca="1">('TUSD BE'!$AM$33+'TUSD BF'!$AM$33+'TUSD CVA'!$AM$33)*(1-CUSTOS!$M$38)</f>
        <v>554.80001091929842</v>
      </c>
      <c r="AA142" s="4">
        <f>('TE BE'!$AB$23+'TE BF'!$AB$23+'TE CVA'!$AB$23)*(1-CUSTOS!$M$38)</f>
        <v>128.42529768213717</v>
      </c>
      <c r="AB142" s="4">
        <f t="shared" si="8"/>
        <v>0</v>
      </c>
      <c r="AC142" s="4">
        <f>(L142-M142)*(W142+X142)+($W$64+$X$64-$W$142-$X$142)*(L142)</f>
        <v>-462.78760000000011</v>
      </c>
      <c r="AD142" s="4">
        <f t="shared" si="9"/>
        <v>0</v>
      </c>
      <c r="AE142" s="4">
        <f ca="1">(L142-M142)*(Z142+AA142)+($Z$64+$AA$64-$Z$142-$AA$142)*(L142)</f>
        <v>-258.08472614701878</v>
      </c>
      <c r="AF142" s="3" t="s">
        <v>647</v>
      </c>
    </row>
    <row r="143" spans="1:32" ht="11.25" customHeight="1" x14ac:dyDescent="0.25">
      <c r="A143" s="3" t="s">
        <v>21</v>
      </c>
      <c r="B143" s="3" t="s">
        <v>43</v>
      </c>
      <c r="C143" s="3" t="s">
        <v>23</v>
      </c>
      <c r="D143" s="3" t="s">
        <v>44</v>
      </c>
      <c r="E143" s="3" t="s">
        <v>52</v>
      </c>
      <c r="F143" s="3" t="s">
        <v>53</v>
      </c>
      <c r="G143" s="3" t="s">
        <v>25</v>
      </c>
      <c r="H143" s="3" t="s">
        <v>25</v>
      </c>
      <c r="I143" s="6">
        <v>44682</v>
      </c>
      <c r="J143" s="4">
        <v>0</v>
      </c>
      <c r="K143" s="4">
        <v>0</v>
      </c>
      <c r="L143" s="4">
        <v>1.6259999999999999</v>
      </c>
      <c r="M143" s="4">
        <v>1.6259999999999999</v>
      </c>
      <c r="N143" s="4">
        <v>1.6259999999999999</v>
      </c>
      <c r="O143" s="4">
        <v>1.6259999999999999</v>
      </c>
      <c r="P143" s="4">
        <v>0</v>
      </c>
      <c r="Q143" s="3" t="s">
        <v>26</v>
      </c>
      <c r="R143" s="3">
        <v>0</v>
      </c>
      <c r="S143" s="3">
        <v>0</v>
      </c>
      <c r="T143" s="3">
        <v>55</v>
      </c>
      <c r="U143" s="3">
        <v>20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441.31</v>
      </c>
      <c r="X143" s="4">
        <f>IF(ISERROR(VLOOKUP($U$143,'TAR FIN'!$A$1:$O$88,15,0)),0,VLOOKUP($U$143,'TAR FIN'!$A$1:$O$88,15,0))</f>
        <v>132.22999999999999</v>
      </c>
      <c r="Y143" s="4"/>
      <c r="Z143" s="4">
        <f ca="1">('TUSD BE'!$AM$33+'TUSD BF'!$AM$33+'TUSD CVA'!$AM$33)*(1-CUSTOS!$M$38)</f>
        <v>554.80001091929842</v>
      </c>
      <c r="AA143" s="4">
        <f>('TE BE'!$AB$23+'TE BF'!$AB$23+'TE CVA'!$AB$23)*(1-CUSTOS!$M$38)</f>
        <v>128.42529768213717</v>
      </c>
      <c r="AB143" s="4">
        <f t="shared" si="8"/>
        <v>0</v>
      </c>
      <c r="AC143" s="4">
        <f>(L143-M143)*(W143+X143)+($W$64+$X$64-$W$143-$X$143)*(L143)</f>
        <v>127.15320000000001</v>
      </c>
      <c r="AD143" s="4">
        <f t="shared" si="9"/>
        <v>0</v>
      </c>
      <c r="AE143" s="4">
        <f ca="1">(L143-M143)*(Z143+AA143)+($Z$64+$AA$64-$Z$143-$AA$143)*(L143)</f>
        <v>70.910065007612786</v>
      </c>
      <c r="AF143" s="3" t="s">
        <v>647</v>
      </c>
    </row>
    <row r="144" spans="1:32" ht="11.25" customHeight="1" x14ac:dyDescent="0.25">
      <c r="A144" s="3" t="s">
        <v>21</v>
      </c>
      <c r="B144" s="3" t="s">
        <v>43</v>
      </c>
      <c r="C144" s="3" t="s">
        <v>23</v>
      </c>
      <c r="D144" s="3" t="s">
        <v>44</v>
      </c>
      <c r="E144" s="3" t="s">
        <v>52</v>
      </c>
      <c r="F144" s="3" t="s">
        <v>53</v>
      </c>
      <c r="G144" s="3" t="s">
        <v>25</v>
      </c>
      <c r="H144" s="3" t="s">
        <v>25</v>
      </c>
      <c r="I144" s="6">
        <v>44713</v>
      </c>
      <c r="J144" s="4">
        <v>0</v>
      </c>
      <c r="K144" s="4">
        <v>0</v>
      </c>
      <c r="L144" s="4">
        <v>1.764</v>
      </c>
      <c r="M144" s="4">
        <v>1.764</v>
      </c>
      <c r="N144" s="4">
        <v>1.764</v>
      </c>
      <c r="O144" s="4">
        <v>1.764</v>
      </c>
      <c r="P144" s="4">
        <v>0</v>
      </c>
      <c r="Q144" s="3" t="s">
        <v>26</v>
      </c>
      <c r="R144" s="3">
        <v>0</v>
      </c>
      <c r="S144" s="3">
        <v>0</v>
      </c>
      <c r="T144" s="3">
        <v>55</v>
      </c>
      <c r="U144" s="3">
        <v>20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441.31</v>
      </c>
      <c r="X144" s="4">
        <f>IF(ISERROR(VLOOKUP($U$144,'TAR FIN'!$A$1:$O$88,15,0)),0,VLOOKUP($U$144,'TAR FIN'!$A$1:$O$88,15,0))</f>
        <v>132.22999999999999</v>
      </c>
      <c r="Y144" s="4"/>
      <c r="Z144" s="4">
        <f ca="1">('TUSD BE'!$AM$33+'TUSD BF'!$AM$33+'TUSD CVA'!$AM$33)*(1-CUSTOS!$M$38)</f>
        <v>554.80001091929842</v>
      </c>
      <c r="AA144" s="4">
        <f>('TE BE'!$AB$23+'TE BF'!$AB$23+'TE CVA'!$AB$23)*(1-CUSTOS!$M$38)</f>
        <v>128.42529768213717</v>
      </c>
      <c r="AB144" s="4">
        <f t="shared" si="8"/>
        <v>0</v>
      </c>
      <c r="AC144" s="4">
        <f>(L144-M144)*(W144+X144)+($W$64+$X$64-$W$144-$X$144)*(L144)</f>
        <v>137.94480000000004</v>
      </c>
      <c r="AD144" s="4">
        <f t="shared" si="9"/>
        <v>0</v>
      </c>
      <c r="AE144" s="4">
        <f ca="1">(L144-M144)*(Z144+AA144)+($Z$64+$AA$64-$Z$144-$AA$144)*(L144)</f>
        <v>76.928262406782878</v>
      </c>
      <c r="AF144" s="3" t="s">
        <v>647</v>
      </c>
    </row>
    <row r="145" spans="1:32" ht="11.25" customHeight="1" x14ac:dyDescent="0.25">
      <c r="A145" s="3" t="s">
        <v>21</v>
      </c>
      <c r="B145" s="3" t="s">
        <v>43</v>
      </c>
      <c r="C145" s="3" t="s">
        <v>23</v>
      </c>
      <c r="D145" s="3" t="s">
        <v>44</v>
      </c>
      <c r="E145" s="3" t="s">
        <v>52</v>
      </c>
      <c r="F145" s="3" t="s">
        <v>53</v>
      </c>
      <c r="G145" s="3" t="s">
        <v>25</v>
      </c>
      <c r="H145" s="3" t="s">
        <v>25</v>
      </c>
      <c r="I145" s="6">
        <v>44743</v>
      </c>
      <c r="J145" s="4">
        <v>0</v>
      </c>
      <c r="K145" s="4">
        <v>0</v>
      </c>
      <c r="L145" s="4">
        <v>1.83</v>
      </c>
      <c r="M145" s="4">
        <v>1.83</v>
      </c>
      <c r="N145" s="4">
        <v>1.83</v>
      </c>
      <c r="O145" s="4">
        <v>1.83</v>
      </c>
      <c r="P145" s="4">
        <v>0</v>
      </c>
      <c r="Q145" s="3" t="s">
        <v>26</v>
      </c>
      <c r="R145" s="3">
        <v>0</v>
      </c>
      <c r="S145" s="3">
        <v>0</v>
      </c>
      <c r="T145" s="3">
        <v>55</v>
      </c>
      <c r="U145" s="3">
        <v>20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441.31</v>
      </c>
      <c r="X145" s="4">
        <f>IF(ISERROR(VLOOKUP($U$145,'TAR FIN'!$A$1:$O$88,15,0)),0,VLOOKUP($U$145,'TAR FIN'!$A$1:$O$88,15,0))</f>
        <v>132.22999999999999</v>
      </c>
      <c r="Y145" s="4"/>
      <c r="Z145" s="4">
        <f ca="1">('TUSD BE'!$AM$33+'TUSD BF'!$AM$33+'TUSD CVA'!$AM$33)*(1-CUSTOS!$M$38)</f>
        <v>554.80001091929842</v>
      </c>
      <c r="AA145" s="4">
        <f>('TE BE'!$AB$23+'TE BF'!$AB$23+'TE CVA'!$AB$23)*(1-CUSTOS!$M$38)</f>
        <v>128.42529768213717</v>
      </c>
      <c r="AB145" s="4">
        <f t="shared" si="8"/>
        <v>0</v>
      </c>
      <c r="AC145" s="4">
        <f>(L145-M145)*(W145+X145)+($W$64+$X$64-$W$145-$X$145)*(L145)</f>
        <v>143.10600000000002</v>
      </c>
      <c r="AD145" s="4">
        <f t="shared" si="9"/>
        <v>0</v>
      </c>
      <c r="AE145" s="4">
        <f ca="1">(L145-M145)*(Z145+AA145)+($Z$64+$AA$64-$Z$145-$AA$145)*(L145)</f>
        <v>79.806530728125097</v>
      </c>
      <c r="AF145" s="3" t="s">
        <v>647</v>
      </c>
    </row>
    <row r="146" spans="1:32" ht="11.25" customHeight="1" x14ac:dyDescent="0.25">
      <c r="A146" s="3" t="s">
        <v>55</v>
      </c>
      <c r="B146" s="3" t="s">
        <v>43</v>
      </c>
      <c r="C146" s="3" t="s">
        <v>23</v>
      </c>
      <c r="D146" s="3" t="s">
        <v>44</v>
      </c>
      <c r="E146" s="3" t="s">
        <v>52</v>
      </c>
      <c r="F146" s="3" t="s">
        <v>53</v>
      </c>
      <c r="G146" s="3" t="s">
        <v>25</v>
      </c>
      <c r="H146" s="3" t="s">
        <v>25</v>
      </c>
      <c r="I146" s="6">
        <v>44774</v>
      </c>
      <c r="J146" s="4">
        <v>0</v>
      </c>
      <c r="K146" s="4">
        <v>0</v>
      </c>
      <c r="L146" s="4">
        <v>1.83</v>
      </c>
      <c r="M146" s="4">
        <v>1.83</v>
      </c>
      <c r="N146" s="4">
        <v>1.83</v>
      </c>
      <c r="O146" s="4">
        <v>1.83</v>
      </c>
      <c r="P146" s="4">
        <v>0</v>
      </c>
      <c r="Q146" s="3" t="s">
        <v>26</v>
      </c>
      <c r="R146" s="3">
        <v>0</v>
      </c>
      <c r="S146" s="3">
        <v>0</v>
      </c>
      <c r="T146" s="3">
        <v>55</v>
      </c>
      <c r="U146" s="3">
        <v>20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441.31</v>
      </c>
      <c r="X146" s="4">
        <f>IF(ISERROR(VLOOKUP($U$146,'TAR FIN'!$A$1:$O$88,15,0)),0,VLOOKUP($U$146,'TAR FIN'!$A$1:$O$88,15,0))</f>
        <v>132.22999999999999</v>
      </c>
      <c r="Y146" s="4"/>
      <c r="Z146" s="4">
        <f ca="1">('TUSD BE'!$AM$33+'TUSD BF'!$AM$33+'TUSD CVA'!$AM$33)*(1-CUSTOS!$M$38)</f>
        <v>554.80001091929842</v>
      </c>
      <c r="AA146" s="4">
        <f>('TE BE'!$AB$23+'TE BF'!$AB$23+'TE CVA'!$AB$23)*(1-CUSTOS!$M$38)</f>
        <v>128.42529768213717</v>
      </c>
      <c r="AB146" s="4">
        <f t="shared" si="8"/>
        <v>0</v>
      </c>
      <c r="AC146" s="4">
        <f>(L146-M146)*(W146+X146)+($W$64+$X$64-$W$146-$X$146)*(L146)</f>
        <v>143.10600000000002</v>
      </c>
      <c r="AD146" s="4">
        <f t="shared" si="9"/>
        <v>0</v>
      </c>
      <c r="AE146" s="4">
        <f ca="1">(L146-M146)*(Z146+AA146)+($Z$64+$AA$64-$Z$146-$AA$146)*(L146)</f>
        <v>79.806530728125097</v>
      </c>
      <c r="AF146" s="3" t="s">
        <v>647</v>
      </c>
    </row>
    <row r="147" spans="1:32" ht="11.25" customHeight="1" x14ac:dyDescent="0.25">
      <c r="A147" s="3" t="s">
        <v>21</v>
      </c>
      <c r="B147" s="3" t="s">
        <v>43</v>
      </c>
      <c r="C147" s="3" t="s">
        <v>23</v>
      </c>
      <c r="D147" s="3" t="s">
        <v>44</v>
      </c>
      <c r="E147" s="3" t="s">
        <v>52</v>
      </c>
      <c r="F147" s="3" t="s">
        <v>54</v>
      </c>
      <c r="G147" s="3" t="s">
        <v>25</v>
      </c>
      <c r="H147" s="3" t="s">
        <v>25</v>
      </c>
      <c r="I147" s="6">
        <v>44440</v>
      </c>
      <c r="J147" s="4">
        <v>0</v>
      </c>
      <c r="K147" s="4">
        <v>0</v>
      </c>
      <c r="L147" s="4">
        <v>0.66600000000000004</v>
      </c>
      <c r="M147" s="4">
        <v>0.26640000000000003</v>
      </c>
      <c r="N147" s="4">
        <v>0.66600000000000004</v>
      </c>
      <c r="O147" s="4">
        <v>0.26640000000000003</v>
      </c>
      <c r="P147" s="4">
        <v>0</v>
      </c>
      <c r="Q147" s="3" t="s">
        <v>26</v>
      </c>
      <c r="R147" s="3">
        <v>0</v>
      </c>
      <c r="S147" s="3">
        <v>0</v>
      </c>
      <c r="T147" s="3">
        <v>55</v>
      </c>
      <c r="U147" s="3">
        <v>20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441.31</v>
      </c>
      <c r="X147" s="4">
        <f>IF(ISERROR(VLOOKUP($U$147,'TAR FIN'!$A$1:$O$88,15,0)),0,VLOOKUP($U$147,'TAR FIN'!$A$1:$O$88,15,0))</f>
        <v>132.22999999999999</v>
      </c>
      <c r="Y147" s="4"/>
      <c r="Z147" s="4">
        <f ca="1">('TUSD BE'!$AM$33+'TUSD BF'!$AM$33+'TUSD CVA'!$AM$33)*(1-CUSTOS!$M$38)</f>
        <v>554.80001091929842</v>
      </c>
      <c r="AA147" s="4">
        <f>('TE BE'!$AB$23+'TE BF'!$AB$23+'TE CVA'!$AB$23)*(1-CUSTOS!$M$38)</f>
        <v>128.42529768213717</v>
      </c>
      <c r="AB147" s="4">
        <f t="shared" si="8"/>
        <v>0</v>
      </c>
      <c r="AC147" s="4">
        <f>(L147-M147)*(W147+X147)+($W$64+$X$64-$W$147-$X$147)*(L147)</f>
        <v>281.26778400000001</v>
      </c>
      <c r="AD147" s="4">
        <f t="shared" si="9"/>
        <v>0</v>
      </c>
      <c r="AE147" s="4">
        <f ca="1">(L147-M147)*(Z147+AA147)+($Z$64+$AA$64-$Z$147-$AA$147)*(L147)</f>
        <v>302.06117728704146</v>
      </c>
      <c r="AF147" s="3" t="s">
        <v>650</v>
      </c>
    </row>
    <row r="148" spans="1:32" ht="11.25" customHeight="1" x14ac:dyDescent="0.25">
      <c r="A148" s="3" t="s">
        <v>21</v>
      </c>
      <c r="B148" s="3" t="s">
        <v>43</v>
      </c>
      <c r="C148" s="3" t="s">
        <v>23</v>
      </c>
      <c r="D148" s="3" t="s">
        <v>44</v>
      </c>
      <c r="E148" s="3" t="s">
        <v>52</v>
      </c>
      <c r="F148" s="3" t="s">
        <v>54</v>
      </c>
      <c r="G148" s="3" t="s">
        <v>25</v>
      </c>
      <c r="H148" s="3" t="s">
        <v>25</v>
      </c>
      <c r="I148" s="6">
        <v>44470</v>
      </c>
      <c r="J148" s="4">
        <v>0</v>
      </c>
      <c r="K148" s="4">
        <v>0</v>
      </c>
      <c r="L148" s="4">
        <v>0.73</v>
      </c>
      <c r="M148" s="4">
        <v>0.29199999999999998</v>
      </c>
      <c r="N148" s="4">
        <v>0.73</v>
      </c>
      <c r="O148" s="4">
        <v>0.29199999999999998</v>
      </c>
      <c r="P148" s="4">
        <v>0</v>
      </c>
      <c r="Q148" s="3" t="s">
        <v>26</v>
      </c>
      <c r="R148" s="3">
        <v>0</v>
      </c>
      <c r="S148" s="3">
        <v>0</v>
      </c>
      <c r="T148" s="3">
        <v>55</v>
      </c>
      <c r="U148" s="3">
        <v>20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441.31</v>
      </c>
      <c r="X148" s="4">
        <f>IF(ISERROR(VLOOKUP($U$148,'TAR FIN'!$A$1:$O$88,15,0)),0,VLOOKUP($U$148,'TAR FIN'!$A$1:$O$88,15,0))</f>
        <v>132.22999999999999</v>
      </c>
      <c r="Y148" s="4"/>
      <c r="Z148" s="4">
        <f ca="1">('TUSD BE'!$AM$33+'TUSD BF'!$AM$33+'TUSD CVA'!$AM$33)*(1-CUSTOS!$M$38)</f>
        <v>554.80001091929842</v>
      </c>
      <c r="AA148" s="4">
        <f>('TE BE'!$AB$23+'TE BF'!$AB$23+'TE CVA'!$AB$23)*(1-CUSTOS!$M$38)</f>
        <v>128.42529768213717</v>
      </c>
      <c r="AB148" s="4">
        <f t="shared" si="8"/>
        <v>0</v>
      </c>
      <c r="AC148" s="4">
        <f>(L148-M148)*(W148+X148)+($W$64+$X$64-$W$148-$X$148)*(L148)</f>
        <v>308.29651999999999</v>
      </c>
      <c r="AD148" s="4">
        <f t="shared" si="9"/>
        <v>0</v>
      </c>
      <c r="AE148" s="4">
        <f ca="1">(L148-M148)*(Z148+AA148)+($Z$64+$AA$64-$Z$148-$AA$148)*(L148)</f>
        <v>331.08807720651697</v>
      </c>
      <c r="AF148" s="3" t="s">
        <v>650</v>
      </c>
    </row>
    <row r="149" spans="1:32" ht="11.25" customHeight="1" x14ac:dyDescent="0.25">
      <c r="A149" s="3" t="s">
        <v>21</v>
      </c>
      <c r="B149" s="3" t="s">
        <v>43</v>
      </c>
      <c r="C149" s="3" t="s">
        <v>23</v>
      </c>
      <c r="D149" s="3" t="s">
        <v>44</v>
      </c>
      <c r="E149" s="3" t="s">
        <v>52</v>
      </c>
      <c r="F149" s="3" t="s">
        <v>54</v>
      </c>
      <c r="G149" s="3" t="s">
        <v>25</v>
      </c>
      <c r="H149" s="3" t="s">
        <v>25</v>
      </c>
      <c r="I149" s="6">
        <v>44501</v>
      </c>
      <c r="J149" s="4">
        <v>0</v>
      </c>
      <c r="K149" s="4">
        <v>0</v>
      </c>
      <c r="L149" s="4">
        <v>1.7170000000000001</v>
      </c>
      <c r="M149" s="4">
        <v>0.68679999999999997</v>
      </c>
      <c r="N149" s="4">
        <v>1.7170000000000001</v>
      </c>
      <c r="O149" s="4">
        <v>0.68679999999999997</v>
      </c>
      <c r="P149" s="4">
        <v>0</v>
      </c>
      <c r="Q149" s="3" t="s">
        <v>26</v>
      </c>
      <c r="R149" s="3">
        <v>0</v>
      </c>
      <c r="S149" s="3">
        <v>0</v>
      </c>
      <c r="T149" s="3">
        <v>55</v>
      </c>
      <c r="U149" s="3">
        <v>20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441.31</v>
      </c>
      <c r="X149" s="4">
        <f>IF(ISERROR(VLOOKUP($U$149,'TAR FIN'!$A$1:$O$88,15,0)),0,VLOOKUP($U$149,'TAR FIN'!$A$1:$O$88,15,0))</f>
        <v>132.22999999999999</v>
      </c>
      <c r="Y149" s="4"/>
      <c r="Z149" s="4">
        <f ca="1">('TUSD BE'!$AM$33+'TUSD BF'!$AM$33+'TUSD CVA'!$AM$33)*(1-CUSTOS!$M$38)</f>
        <v>554.80001091929842</v>
      </c>
      <c r="AA149" s="4">
        <f>('TE BE'!$AB$23+'TE BF'!$AB$23+'TE CVA'!$AB$23)*(1-CUSTOS!$M$38)</f>
        <v>128.42529768213717</v>
      </c>
      <c r="AB149" s="4">
        <f t="shared" si="8"/>
        <v>0</v>
      </c>
      <c r="AC149" s="4">
        <f>(L149-M149)*(W149+X149)+($W$64+$X$64-$W$149-$X$149)*(L149)</f>
        <v>725.13030800000013</v>
      </c>
      <c r="AD149" s="4">
        <f t="shared" si="9"/>
        <v>0</v>
      </c>
      <c r="AE149" s="4">
        <f ca="1">(L149-M149)*(Z149+AA149)+($Z$64+$AA$64-$Z$149-$AA$149)*(L149)</f>
        <v>778.73729940217765</v>
      </c>
      <c r="AF149" s="3" t="s">
        <v>650</v>
      </c>
    </row>
    <row r="150" spans="1:32" ht="11.25" customHeight="1" x14ac:dyDescent="0.25">
      <c r="A150" s="3" t="s">
        <v>21</v>
      </c>
      <c r="B150" s="3" t="s">
        <v>43</v>
      </c>
      <c r="C150" s="3" t="s">
        <v>23</v>
      </c>
      <c r="D150" s="3" t="s">
        <v>44</v>
      </c>
      <c r="E150" s="3" t="s">
        <v>52</v>
      </c>
      <c r="F150" s="3" t="s">
        <v>54</v>
      </c>
      <c r="G150" s="3" t="s">
        <v>25</v>
      </c>
      <c r="H150" s="3" t="s">
        <v>25</v>
      </c>
      <c r="I150" s="6">
        <v>44531</v>
      </c>
      <c r="J150" s="4">
        <v>0</v>
      </c>
      <c r="K150" s="4">
        <v>0</v>
      </c>
      <c r="L150" s="4">
        <v>2.23</v>
      </c>
      <c r="M150" s="4">
        <v>0.89200000000000002</v>
      </c>
      <c r="N150" s="4">
        <v>2.23</v>
      </c>
      <c r="O150" s="4">
        <v>0.89200000000000002</v>
      </c>
      <c r="P150" s="4">
        <v>0</v>
      </c>
      <c r="Q150" s="3" t="s">
        <v>26</v>
      </c>
      <c r="R150" s="3">
        <v>0</v>
      </c>
      <c r="S150" s="3">
        <v>0</v>
      </c>
      <c r="T150" s="3">
        <v>55</v>
      </c>
      <c r="U150" s="3">
        <v>20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441.31</v>
      </c>
      <c r="X150" s="4">
        <f>IF(ISERROR(VLOOKUP($U$150,'TAR FIN'!$A$1:$O$88,15,0)),0,VLOOKUP($U$150,'TAR FIN'!$A$1:$O$88,15,0))</f>
        <v>132.22999999999999</v>
      </c>
      <c r="Y150" s="4"/>
      <c r="Z150" s="4">
        <f ca="1">('TUSD BE'!$AM$33+'TUSD BF'!$AM$33+'TUSD CVA'!$AM$33)*(1-CUSTOS!$M$38)</f>
        <v>554.80001091929842</v>
      </c>
      <c r="AA150" s="4">
        <f>('TE BE'!$AB$23+'TE BF'!$AB$23+'TE CVA'!$AB$23)*(1-CUSTOS!$M$38)</f>
        <v>128.42529768213717</v>
      </c>
      <c r="AB150" s="4">
        <f t="shared" si="8"/>
        <v>0</v>
      </c>
      <c r="AC150" s="4">
        <f>(L150-M150)*(W150+X150)+($W$64+$X$64-$W$150-$X$150)*(L150)</f>
        <v>941.78251999999998</v>
      </c>
      <c r="AD150" s="4">
        <f t="shared" si="9"/>
        <v>0</v>
      </c>
      <c r="AE150" s="4">
        <f ca="1">(L150-M150)*(Z150+AA150)+($Z$64+$AA$64-$Z$150-$AA$150)*(L150)</f>
        <v>1011.4060440692231</v>
      </c>
      <c r="AF150" s="3" t="s">
        <v>650</v>
      </c>
    </row>
    <row r="151" spans="1:32" ht="11.25" customHeight="1" x14ac:dyDescent="0.25">
      <c r="A151" s="3" t="s">
        <v>21</v>
      </c>
      <c r="B151" s="3" t="s">
        <v>43</v>
      </c>
      <c r="C151" s="3" t="s">
        <v>23</v>
      </c>
      <c r="D151" s="3" t="s">
        <v>44</v>
      </c>
      <c r="E151" s="3" t="s">
        <v>52</v>
      </c>
      <c r="F151" s="3" t="s">
        <v>54</v>
      </c>
      <c r="G151" s="3" t="s">
        <v>25</v>
      </c>
      <c r="H151" s="3" t="s">
        <v>25</v>
      </c>
      <c r="I151" s="6">
        <v>44562</v>
      </c>
      <c r="J151" s="4">
        <v>0</v>
      </c>
      <c r="K151" s="4">
        <v>0</v>
      </c>
      <c r="L151" s="4">
        <v>0.436</v>
      </c>
      <c r="M151" s="4">
        <v>0.1744</v>
      </c>
      <c r="N151" s="4">
        <v>0.436</v>
      </c>
      <c r="O151" s="4">
        <v>0.1744</v>
      </c>
      <c r="P151" s="4">
        <v>0</v>
      </c>
      <c r="Q151" s="3" t="s">
        <v>26</v>
      </c>
      <c r="R151" s="3">
        <v>0</v>
      </c>
      <c r="S151" s="3">
        <v>0</v>
      </c>
      <c r="T151" s="3">
        <v>55</v>
      </c>
      <c r="U151" s="3">
        <v>20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441.31</v>
      </c>
      <c r="X151" s="4">
        <f>IF(ISERROR(VLOOKUP($U$151,'TAR FIN'!$A$1:$O$88,15,0)),0,VLOOKUP($U$151,'TAR FIN'!$A$1:$O$88,15,0))</f>
        <v>132.22999999999999</v>
      </c>
      <c r="Y151" s="4"/>
      <c r="Z151" s="4">
        <f ca="1">('TUSD BE'!$AM$33+'TUSD BF'!$AM$33+'TUSD CVA'!$AM$33)*(1-CUSTOS!$M$38)</f>
        <v>554.80001091929842</v>
      </c>
      <c r="AA151" s="4">
        <f>('TE BE'!$AB$23+'TE BF'!$AB$23+'TE CVA'!$AB$23)*(1-CUSTOS!$M$38)</f>
        <v>128.42529768213717</v>
      </c>
      <c r="AB151" s="4">
        <f t="shared" si="8"/>
        <v>0</v>
      </c>
      <c r="AC151" s="4">
        <f>(L151-M151)*(W151+X151)+($W$64+$X$64-$W$151-$X$151)*(L151)</f>
        <v>184.133264</v>
      </c>
      <c r="AD151" s="4">
        <f t="shared" si="9"/>
        <v>0</v>
      </c>
      <c r="AE151" s="4">
        <f ca="1">(L151-M151)*(Z151+AA151)+($Z$64+$AA$64-$Z$151-$AA$151)*(L151)</f>
        <v>197.74575570142656</v>
      </c>
      <c r="AF151" s="3" t="s">
        <v>650</v>
      </c>
    </row>
    <row r="152" spans="1:32" ht="11.25" customHeight="1" x14ac:dyDescent="0.25">
      <c r="A152" s="3" t="s">
        <v>21</v>
      </c>
      <c r="B152" s="3" t="s">
        <v>43</v>
      </c>
      <c r="C152" s="3" t="s">
        <v>23</v>
      </c>
      <c r="D152" s="3" t="s">
        <v>44</v>
      </c>
      <c r="E152" s="3" t="s">
        <v>52</v>
      </c>
      <c r="F152" s="3" t="s">
        <v>54</v>
      </c>
      <c r="G152" s="3" t="s">
        <v>25</v>
      </c>
      <c r="H152" s="3" t="s">
        <v>25</v>
      </c>
      <c r="I152" s="6">
        <v>44593</v>
      </c>
      <c r="J152" s="4">
        <v>0</v>
      </c>
      <c r="K152" s="4">
        <v>0</v>
      </c>
      <c r="L152" s="4">
        <v>1.02</v>
      </c>
      <c r="M152" s="4">
        <v>0.40799999999999997</v>
      </c>
      <c r="N152" s="4">
        <v>1.02</v>
      </c>
      <c r="O152" s="4">
        <v>0.40799999999999997</v>
      </c>
      <c r="P152" s="4">
        <v>0</v>
      </c>
      <c r="Q152" s="3" t="s">
        <v>26</v>
      </c>
      <c r="R152" s="3">
        <v>0</v>
      </c>
      <c r="S152" s="3">
        <v>0</v>
      </c>
      <c r="T152" s="3">
        <v>55</v>
      </c>
      <c r="U152" s="3">
        <v>20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441.31</v>
      </c>
      <c r="X152" s="4">
        <f>IF(ISERROR(VLOOKUP($U$152,'TAR FIN'!$A$1:$O$88,15,0)),0,VLOOKUP($U$152,'TAR FIN'!$A$1:$O$88,15,0))</f>
        <v>132.22999999999999</v>
      </c>
      <c r="Y152" s="4"/>
      <c r="Z152" s="4">
        <f ca="1">('TUSD BE'!$AM$33+'TUSD BF'!$AM$33+'TUSD CVA'!$AM$33)*(1-CUSTOS!$M$38)</f>
        <v>554.80001091929842</v>
      </c>
      <c r="AA152" s="4">
        <f>('TE BE'!$AB$23+'TE BF'!$AB$23+'TE CVA'!$AB$23)*(1-CUSTOS!$M$38)</f>
        <v>128.42529768213717</v>
      </c>
      <c r="AB152" s="4">
        <f t="shared" si="8"/>
        <v>0</v>
      </c>
      <c r="AC152" s="4">
        <f>(L152-M152)*(W152+X152)+($W$64+$X$64-$W$152-$X$152)*(L152)</f>
        <v>430.77048000000002</v>
      </c>
      <c r="AD152" s="4">
        <f t="shared" si="9"/>
        <v>0</v>
      </c>
      <c r="AE152" s="4">
        <f ca="1">(L152-M152)*(Z152+AA152)+($Z$64+$AA$64-$Z$152-$AA$152)*(L152)</f>
        <v>462.61621746664019</v>
      </c>
      <c r="AF152" s="3" t="s">
        <v>650</v>
      </c>
    </row>
    <row r="153" spans="1:32" ht="11.25" customHeight="1" x14ac:dyDescent="0.25">
      <c r="A153" s="3" t="s">
        <v>21</v>
      </c>
      <c r="B153" s="3" t="s">
        <v>43</v>
      </c>
      <c r="C153" s="3" t="s">
        <v>23</v>
      </c>
      <c r="D153" s="3" t="s">
        <v>44</v>
      </c>
      <c r="E153" s="3" t="s">
        <v>52</v>
      </c>
      <c r="F153" s="3" t="s">
        <v>54</v>
      </c>
      <c r="G153" s="3" t="s">
        <v>25</v>
      </c>
      <c r="H153" s="3" t="s">
        <v>25</v>
      </c>
      <c r="I153" s="6">
        <v>44621</v>
      </c>
      <c r="J153" s="4">
        <v>0</v>
      </c>
      <c r="K153" s="4">
        <v>0</v>
      </c>
      <c r="L153" s="4">
        <v>0.876</v>
      </c>
      <c r="M153" s="4">
        <v>0.35039999999999999</v>
      </c>
      <c r="N153" s="4">
        <v>0.876</v>
      </c>
      <c r="O153" s="4">
        <v>0.35039999999999999</v>
      </c>
      <c r="P153" s="4">
        <v>0</v>
      </c>
      <c r="Q153" s="3" t="s">
        <v>26</v>
      </c>
      <c r="R153" s="3">
        <v>0</v>
      </c>
      <c r="S153" s="3">
        <v>0</v>
      </c>
      <c r="T153" s="3">
        <v>55</v>
      </c>
      <c r="U153" s="3">
        <v>20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441.31</v>
      </c>
      <c r="X153" s="4">
        <f>IF(ISERROR(VLOOKUP($U$153,'TAR FIN'!$A$1:$O$88,15,0)),0,VLOOKUP($U$153,'TAR FIN'!$A$1:$O$88,15,0))</f>
        <v>132.22999999999999</v>
      </c>
      <c r="Y153" s="4"/>
      <c r="Z153" s="4">
        <f ca="1">('TUSD BE'!$AM$33+'TUSD BF'!$AM$33+'TUSD CVA'!$AM$33)*(1-CUSTOS!$M$38)</f>
        <v>554.80001091929842</v>
      </c>
      <c r="AA153" s="4">
        <f>('TE BE'!$AB$23+'TE BF'!$AB$23+'TE CVA'!$AB$23)*(1-CUSTOS!$M$38)</f>
        <v>128.42529768213717</v>
      </c>
      <c r="AB153" s="4">
        <f t="shared" si="8"/>
        <v>0</v>
      </c>
      <c r="AC153" s="4">
        <f>(L153-M153)*(W153+X153)+($W$64+$X$64-$W$153-$X$153)*(L153)</f>
        <v>369.95582400000001</v>
      </c>
      <c r="AD153" s="4">
        <f t="shared" si="9"/>
        <v>0</v>
      </c>
      <c r="AE153" s="4">
        <f ca="1">(L153-M153)*(Z153+AA153)+($Z$64+$AA$64-$Z$153-$AA$153)*(L153)</f>
        <v>397.30569264782042</v>
      </c>
      <c r="AF153" s="3" t="s">
        <v>650</v>
      </c>
    </row>
    <row r="154" spans="1:32" ht="11.25" customHeight="1" x14ac:dyDescent="0.25">
      <c r="A154" s="3" t="s">
        <v>21</v>
      </c>
      <c r="B154" s="3" t="s">
        <v>43</v>
      </c>
      <c r="C154" s="3" t="s">
        <v>23</v>
      </c>
      <c r="D154" s="3" t="s">
        <v>44</v>
      </c>
      <c r="E154" s="3" t="s">
        <v>52</v>
      </c>
      <c r="F154" s="3" t="s">
        <v>54</v>
      </c>
      <c r="G154" s="3" t="s">
        <v>25</v>
      </c>
      <c r="H154" s="3" t="s">
        <v>25</v>
      </c>
      <c r="I154" s="6">
        <v>44652</v>
      </c>
      <c r="J154" s="4">
        <v>0</v>
      </c>
      <c r="K154" s="4">
        <v>0</v>
      </c>
      <c r="L154" s="4">
        <v>0.67900000000000005</v>
      </c>
      <c r="M154" s="4">
        <v>0.27160000000000001</v>
      </c>
      <c r="N154" s="4">
        <v>0.67900000000000005</v>
      </c>
      <c r="O154" s="4">
        <v>0.27160000000000001</v>
      </c>
      <c r="P154" s="4">
        <v>0</v>
      </c>
      <c r="Q154" s="3" t="s">
        <v>26</v>
      </c>
      <c r="R154" s="3">
        <v>0</v>
      </c>
      <c r="S154" s="3">
        <v>0</v>
      </c>
      <c r="T154" s="3">
        <v>55</v>
      </c>
      <c r="U154" s="3">
        <v>20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441.31</v>
      </c>
      <c r="X154" s="4">
        <f>IF(ISERROR(VLOOKUP($U$154,'TAR FIN'!$A$1:$O$88,15,0)),0,VLOOKUP($U$154,'TAR FIN'!$A$1:$O$88,15,0))</f>
        <v>132.22999999999999</v>
      </c>
      <c r="Y154" s="4"/>
      <c r="Z154" s="4">
        <f ca="1">('TUSD BE'!$AM$33+'TUSD BF'!$AM$33+'TUSD CVA'!$AM$33)*(1-CUSTOS!$M$38)</f>
        <v>554.80001091929842</v>
      </c>
      <c r="AA154" s="4">
        <f>('TE BE'!$AB$23+'TE BF'!$AB$23+'TE CVA'!$AB$23)*(1-CUSTOS!$M$38)</f>
        <v>128.42529768213717</v>
      </c>
      <c r="AB154" s="4">
        <f t="shared" si="8"/>
        <v>0</v>
      </c>
      <c r="AC154" s="4">
        <f>(L154-M154)*(W154+X154)+($W$64+$X$64-$W$154-$X$154)*(L154)</f>
        <v>286.75799600000005</v>
      </c>
      <c r="AD154" s="4">
        <f t="shared" si="9"/>
        <v>0</v>
      </c>
      <c r="AE154" s="4">
        <f ca="1">(L154-M154)*(Z154+AA154)+($Z$64+$AA$64-$Z$154-$AA$154)*(L154)</f>
        <v>307.95726633318492</v>
      </c>
      <c r="AF154" s="3" t="s">
        <v>650</v>
      </c>
    </row>
    <row r="155" spans="1:32" ht="11.25" customHeight="1" x14ac:dyDescent="0.25">
      <c r="A155" s="3" t="s">
        <v>21</v>
      </c>
      <c r="B155" s="3" t="s">
        <v>43</v>
      </c>
      <c r="C155" s="3" t="s">
        <v>23</v>
      </c>
      <c r="D155" s="3" t="s">
        <v>44</v>
      </c>
      <c r="E155" s="3" t="s">
        <v>52</v>
      </c>
      <c r="F155" s="3" t="s">
        <v>54</v>
      </c>
      <c r="G155" s="3" t="s">
        <v>25</v>
      </c>
      <c r="H155" s="3" t="s">
        <v>25</v>
      </c>
      <c r="I155" s="6">
        <v>44682</v>
      </c>
      <c r="J155" s="4">
        <v>0</v>
      </c>
      <c r="K155" s="4">
        <v>0</v>
      </c>
      <c r="L155" s="4">
        <v>0.38</v>
      </c>
      <c r="M155" s="4">
        <v>0.152</v>
      </c>
      <c r="N155" s="4">
        <v>0.38</v>
      </c>
      <c r="O155" s="4">
        <v>0.152</v>
      </c>
      <c r="P155" s="4">
        <v>0</v>
      </c>
      <c r="Q155" s="3" t="s">
        <v>26</v>
      </c>
      <c r="R155" s="3">
        <v>0</v>
      </c>
      <c r="S155" s="3">
        <v>0</v>
      </c>
      <c r="T155" s="3">
        <v>55</v>
      </c>
      <c r="U155" s="3">
        <v>20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441.31</v>
      </c>
      <c r="X155" s="4">
        <f>IF(ISERROR(VLOOKUP($U$155,'TAR FIN'!$A$1:$O$88,15,0)),0,VLOOKUP($U$155,'TAR FIN'!$A$1:$O$88,15,0))</f>
        <v>132.22999999999999</v>
      </c>
      <c r="Y155" s="4"/>
      <c r="Z155" s="4">
        <f ca="1">('TUSD BE'!$AM$33+'TUSD BF'!$AM$33+'TUSD CVA'!$AM$33)*(1-CUSTOS!$M$38)</f>
        <v>554.80001091929842</v>
      </c>
      <c r="AA155" s="4">
        <f>('TE BE'!$AB$23+'TE BF'!$AB$23+'TE CVA'!$AB$23)*(1-CUSTOS!$M$38)</f>
        <v>128.42529768213717</v>
      </c>
      <c r="AB155" s="4">
        <f t="shared" si="8"/>
        <v>0</v>
      </c>
      <c r="AC155" s="4">
        <f>(L155-M155)*(W155+X155)+($W$64+$X$64-$W$155-$X$155)*(L155)</f>
        <v>160.48312000000001</v>
      </c>
      <c r="AD155" s="4">
        <f t="shared" si="9"/>
        <v>0</v>
      </c>
      <c r="AE155" s="4">
        <f ca="1">(L155-M155)*(Z155+AA155)+($Z$64+$AA$64-$Z$155-$AA$155)*(L155)</f>
        <v>172.34721827188554</v>
      </c>
      <c r="AF155" s="3" t="s">
        <v>650</v>
      </c>
    </row>
    <row r="156" spans="1:32" ht="11.25" customHeight="1" x14ac:dyDescent="0.25">
      <c r="A156" s="3" t="s">
        <v>21</v>
      </c>
      <c r="B156" s="3" t="s">
        <v>43</v>
      </c>
      <c r="C156" s="3" t="s">
        <v>23</v>
      </c>
      <c r="D156" s="3" t="s">
        <v>44</v>
      </c>
      <c r="E156" s="3" t="s">
        <v>52</v>
      </c>
      <c r="F156" s="3" t="s">
        <v>54</v>
      </c>
      <c r="G156" s="3" t="s">
        <v>25</v>
      </c>
      <c r="H156" s="3" t="s">
        <v>25</v>
      </c>
      <c r="I156" s="6">
        <v>44713</v>
      </c>
      <c r="J156" s="4">
        <v>0</v>
      </c>
      <c r="K156" s="4">
        <v>0</v>
      </c>
      <c r="L156" s="4">
        <v>0.26900000000000002</v>
      </c>
      <c r="M156" s="4">
        <v>0.1076</v>
      </c>
      <c r="N156" s="4">
        <v>0.26900000000000002</v>
      </c>
      <c r="O156" s="4">
        <v>0.1076</v>
      </c>
      <c r="P156" s="4">
        <v>0</v>
      </c>
      <c r="Q156" s="3" t="s">
        <v>26</v>
      </c>
      <c r="R156" s="3">
        <v>0</v>
      </c>
      <c r="S156" s="3">
        <v>0</v>
      </c>
      <c r="T156" s="3">
        <v>55</v>
      </c>
      <c r="U156" s="3">
        <v>20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441.31</v>
      </c>
      <c r="X156" s="4">
        <f>IF(ISERROR(VLOOKUP($U$156,'TAR FIN'!$A$1:$O$88,15,0)),0,VLOOKUP($U$156,'TAR FIN'!$A$1:$O$88,15,0))</f>
        <v>132.22999999999999</v>
      </c>
      <c r="Y156" s="4"/>
      <c r="Z156" s="4">
        <f ca="1">('TUSD BE'!$AM$33+'TUSD BF'!$AM$33+'TUSD CVA'!$AM$33)*(1-CUSTOS!$M$38)</f>
        <v>554.80001091929842</v>
      </c>
      <c r="AA156" s="4">
        <f>('TE BE'!$AB$23+'TE BF'!$AB$23+'TE CVA'!$AB$23)*(1-CUSTOS!$M$38)</f>
        <v>128.42529768213717</v>
      </c>
      <c r="AB156" s="4">
        <f t="shared" si="8"/>
        <v>0</v>
      </c>
      <c r="AC156" s="4">
        <f>(L156-M156)*(W156+X156)+($W$64+$X$64-$W$156-$X$156)*(L156)</f>
        <v>113.60515600000001</v>
      </c>
      <c r="AD156" s="4">
        <f t="shared" si="9"/>
        <v>0</v>
      </c>
      <c r="AE156" s="4">
        <f ca="1">(L156-M156)*(Z156+AA156)+($Z$64+$AA$64-$Z$156-$AA$156)*(L156)</f>
        <v>122.00368872404529</v>
      </c>
      <c r="AF156" s="3" t="s">
        <v>650</v>
      </c>
    </row>
    <row r="157" spans="1:32" ht="11.25" customHeight="1" x14ac:dyDescent="0.25">
      <c r="A157" s="3" t="s">
        <v>21</v>
      </c>
      <c r="B157" s="3" t="s">
        <v>43</v>
      </c>
      <c r="C157" s="3" t="s">
        <v>23</v>
      </c>
      <c r="D157" s="3" t="s">
        <v>44</v>
      </c>
      <c r="E157" s="3" t="s">
        <v>52</v>
      </c>
      <c r="F157" s="3" t="s">
        <v>54</v>
      </c>
      <c r="G157" s="3" t="s">
        <v>25</v>
      </c>
      <c r="H157" s="3" t="s">
        <v>25</v>
      </c>
      <c r="I157" s="6">
        <v>44743</v>
      </c>
      <c r="J157" s="4">
        <v>0</v>
      </c>
      <c r="K157" s="4">
        <v>0</v>
      </c>
      <c r="L157" s="4">
        <v>0.22</v>
      </c>
      <c r="M157" s="4">
        <v>8.7999999999999995E-2</v>
      </c>
      <c r="N157" s="4">
        <v>0.22</v>
      </c>
      <c r="O157" s="4">
        <v>8.7999999999999995E-2</v>
      </c>
      <c r="P157" s="4">
        <v>0</v>
      </c>
      <c r="Q157" s="3" t="s">
        <v>26</v>
      </c>
      <c r="R157" s="3">
        <v>0</v>
      </c>
      <c r="S157" s="3">
        <v>0</v>
      </c>
      <c r="T157" s="3">
        <v>55</v>
      </c>
      <c r="U157" s="3">
        <v>20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441.31</v>
      </c>
      <c r="X157" s="4">
        <f>IF(ISERROR(VLOOKUP($U$157,'TAR FIN'!$A$1:$O$88,15,0)),0,VLOOKUP($U$157,'TAR FIN'!$A$1:$O$88,15,0))</f>
        <v>132.22999999999999</v>
      </c>
      <c r="Y157" s="4"/>
      <c r="Z157" s="4">
        <f ca="1">('TUSD BE'!$AM$33+'TUSD BF'!$AM$33+'TUSD CVA'!$AM$33)*(1-CUSTOS!$M$38)</f>
        <v>554.80001091929842</v>
      </c>
      <c r="AA157" s="4">
        <f>('TE BE'!$AB$23+'TE BF'!$AB$23+'TE CVA'!$AB$23)*(1-CUSTOS!$M$38)</f>
        <v>128.42529768213717</v>
      </c>
      <c r="AB157" s="4">
        <f t="shared" si="8"/>
        <v>0</v>
      </c>
      <c r="AC157" s="4">
        <f>(L157-M157)*(W157+X157)+($W$64+$X$64-$W$157-$X$157)*(L157)</f>
        <v>92.911280000000005</v>
      </c>
      <c r="AD157" s="4">
        <f t="shared" si="9"/>
        <v>0</v>
      </c>
      <c r="AE157" s="4">
        <f ca="1">(L157-M157)*(Z157+AA157)+($Z$64+$AA$64-$Z$157-$AA$157)*(L157)</f>
        <v>99.779968473196888</v>
      </c>
      <c r="AF157" s="3" t="s">
        <v>650</v>
      </c>
    </row>
    <row r="158" spans="1:32" ht="11.25" customHeight="1" x14ac:dyDescent="0.25">
      <c r="A158" s="3" t="s">
        <v>55</v>
      </c>
      <c r="B158" s="3" t="s">
        <v>43</v>
      </c>
      <c r="C158" s="3" t="s">
        <v>23</v>
      </c>
      <c r="D158" s="3" t="s">
        <v>44</v>
      </c>
      <c r="E158" s="3" t="s">
        <v>52</v>
      </c>
      <c r="F158" s="3" t="s">
        <v>54</v>
      </c>
      <c r="G158" s="3" t="s">
        <v>25</v>
      </c>
      <c r="H158" s="3" t="s">
        <v>25</v>
      </c>
      <c r="I158" s="6">
        <v>44774</v>
      </c>
      <c r="J158" s="4">
        <v>0</v>
      </c>
      <c r="K158" s="4">
        <v>0</v>
      </c>
      <c r="L158" s="4">
        <v>0.22</v>
      </c>
      <c r="M158" s="4">
        <v>8.7999999999999995E-2</v>
      </c>
      <c r="N158" s="4">
        <v>0.22</v>
      </c>
      <c r="O158" s="4">
        <v>8.7999999999999995E-2</v>
      </c>
      <c r="P158" s="4">
        <v>0</v>
      </c>
      <c r="Q158" s="3" t="s">
        <v>26</v>
      </c>
      <c r="R158" s="3">
        <v>0</v>
      </c>
      <c r="S158" s="3">
        <v>0</v>
      </c>
      <c r="T158" s="3">
        <v>55</v>
      </c>
      <c r="U158" s="3">
        <v>20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441.31</v>
      </c>
      <c r="X158" s="4">
        <f>IF(ISERROR(VLOOKUP($U$158,'TAR FIN'!$A$1:$O$88,15,0)),0,VLOOKUP($U$158,'TAR FIN'!$A$1:$O$88,15,0))</f>
        <v>132.22999999999999</v>
      </c>
      <c r="Y158" s="4"/>
      <c r="Z158" s="4">
        <f ca="1">('TUSD BE'!$AM$33+'TUSD BF'!$AM$33+'TUSD CVA'!$AM$33)*(1-CUSTOS!$M$38)</f>
        <v>554.80001091929842</v>
      </c>
      <c r="AA158" s="4">
        <f>('TE BE'!$AB$23+'TE BF'!$AB$23+'TE CVA'!$AB$23)*(1-CUSTOS!$M$38)</f>
        <v>128.42529768213717</v>
      </c>
      <c r="AB158" s="4">
        <f t="shared" si="8"/>
        <v>0</v>
      </c>
      <c r="AC158" s="4">
        <f>(L158-M158)*(W158+X158)+($W$64+$X$64-$W$158-$X$158)*(L158)</f>
        <v>92.911280000000005</v>
      </c>
      <c r="AD158" s="4">
        <f t="shared" si="9"/>
        <v>0</v>
      </c>
      <c r="AE158" s="4">
        <f ca="1">(L158-M158)*(Z158+AA158)+($Z$64+$AA$64-$Z$158-$AA$158)*(L158)</f>
        <v>99.779968473196888</v>
      </c>
      <c r="AF158" s="3" t="s">
        <v>650</v>
      </c>
    </row>
    <row r="159" spans="1:32" ht="11.25" customHeight="1" x14ac:dyDescent="0.25">
      <c r="A159" s="3" t="s">
        <v>21</v>
      </c>
      <c r="B159" s="3" t="s">
        <v>43</v>
      </c>
      <c r="C159" s="3" t="s">
        <v>23</v>
      </c>
      <c r="D159" s="3" t="s">
        <v>44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44440</v>
      </c>
      <c r="J159" s="4">
        <v>0</v>
      </c>
      <c r="K159" s="4">
        <v>0</v>
      </c>
      <c r="L159" s="4">
        <v>244.33500000000001</v>
      </c>
      <c r="M159" s="4">
        <v>244.33500000000001</v>
      </c>
      <c r="N159" s="4">
        <v>244.33500000000001</v>
      </c>
      <c r="O159" s="4">
        <v>244.33500000000001</v>
      </c>
      <c r="P159" s="4">
        <v>760</v>
      </c>
      <c r="Q159" s="3" t="s">
        <v>26</v>
      </c>
      <c r="R159" s="3">
        <v>0</v>
      </c>
      <c r="S159" s="3">
        <v>0</v>
      </c>
      <c r="T159" s="3">
        <v>55</v>
      </c>
      <c r="U159" s="3">
        <v>20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441.31</v>
      </c>
      <c r="X159" s="4">
        <f>IF(ISERROR(VLOOKUP($U$159,'TAR FIN'!$A$1:$O$88,15,0)),0,VLOOKUP($U$159,'TAR FIN'!$A$1:$O$88,15,0))</f>
        <v>132.22999999999999</v>
      </c>
      <c r="Y159" s="4"/>
      <c r="Z159" s="4">
        <f ca="1">('TUSD BE'!$AM$33+'TUSD BF'!$AM$33+'TUSD CVA'!$AM$33)*(1-CUSTOS!$M$38)</f>
        <v>554.80001091929842</v>
      </c>
      <c r="AA159" s="4">
        <f>('TE BE'!$AB$23+'TE BF'!$AB$23+'TE CVA'!$AB$23)*(1-CUSTOS!$M$38)</f>
        <v>128.42529768213717</v>
      </c>
      <c r="AB159" s="4">
        <f t="shared" si="8"/>
        <v>0</v>
      </c>
      <c r="AC159" s="4">
        <f>(L159-M159)*(W159+X159)+($W$64+$X$64-$W$159-$X$159)*(L159)</f>
        <v>19106.997000000003</v>
      </c>
      <c r="AD159" s="4">
        <f t="shared" si="9"/>
        <v>0</v>
      </c>
      <c r="AE159" s="4">
        <f ca="1">(L159-M159)*(Z159+AA159)+($Z$64+$AA$64-$Z$159-$AA$159)*(L159)</f>
        <v>10655.48015598713</v>
      </c>
      <c r="AF159" s="3" t="s">
        <v>647</v>
      </c>
    </row>
    <row r="160" spans="1:32" ht="11.25" customHeight="1" x14ac:dyDescent="0.25">
      <c r="A160" s="3" t="s">
        <v>28</v>
      </c>
      <c r="B160" s="3" t="s">
        <v>43</v>
      </c>
      <c r="C160" s="3" t="s">
        <v>23</v>
      </c>
      <c r="D160" s="3" t="s">
        <v>44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44440</v>
      </c>
      <c r="J160" s="4">
        <v>0</v>
      </c>
      <c r="K160" s="4">
        <v>0</v>
      </c>
      <c r="L160" s="4">
        <v>0.54800000000000004</v>
      </c>
      <c r="M160" s="4">
        <v>0.54800000000000004</v>
      </c>
      <c r="N160" s="4">
        <v>0.54800000000000004</v>
      </c>
      <c r="O160" s="4">
        <v>0.54800000000000004</v>
      </c>
      <c r="P160" s="4">
        <v>4</v>
      </c>
      <c r="Q160" s="3" t="s">
        <v>26</v>
      </c>
      <c r="R160" s="3">
        <v>0</v>
      </c>
      <c r="S160" s="3">
        <v>0</v>
      </c>
      <c r="T160" s="3">
        <v>55</v>
      </c>
      <c r="U160" s="3">
        <v>20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441.31</v>
      </c>
      <c r="X160" s="4">
        <f>IF(ISERROR(VLOOKUP($U$160,'TAR FIN'!$A$1:$O$88,15,0)),0,VLOOKUP($U$160,'TAR FIN'!$A$1:$O$88,15,0))</f>
        <v>132.22999999999999</v>
      </c>
      <c r="Y160" s="4"/>
      <c r="Z160" s="4">
        <f ca="1">('TUSD BE'!$AM$33+'TUSD BF'!$AM$33+'TUSD CVA'!$AM$33)*(1-CUSTOS!$M$38)</f>
        <v>554.80001091929842</v>
      </c>
      <c r="AA160" s="4">
        <f>('TE BE'!$AB$23+'TE BF'!$AB$23+'TE CVA'!$AB$23)*(1-CUSTOS!$M$38)</f>
        <v>128.42529768213717</v>
      </c>
      <c r="AB160" s="4">
        <f t="shared" si="8"/>
        <v>0</v>
      </c>
      <c r="AC160" s="4">
        <f>(L160-M160)*(W160+X160)+($W$64+$X$64-$W$160-$X$160)*(L160)</f>
        <v>42.853600000000014</v>
      </c>
      <c r="AD160" s="4">
        <f t="shared" si="9"/>
        <v>0</v>
      </c>
      <c r="AE160" s="4">
        <f ca="1">(L160-M160)*(Z160+AA160)+($Z$64+$AA$64-$Z$160-$AA$160)*(L160)</f>
        <v>23.89834909235659</v>
      </c>
      <c r="AF160" s="3" t="s">
        <v>647</v>
      </c>
    </row>
    <row r="161" spans="1:32" ht="11.25" customHeight="1" x14ac:dyDescent="0.25">
      <c r="A161" s="3" t="s">
        <v>21</v>
      </c>
      <c r="B161" s="3" t="s">
        <v>43</v>
      </c>
      <c r="C161" s="3" t="s">
        <v>23</v>
      </c>
      <c r="D161" s="3" t="s">
        <v>44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44470</v>
      </c>
      <c r="J161" s="4">
        <v>0</v>
      </c>
      <c r="K161" s="4">
        <v>0</v>
      </c>
      <c r="L161" s="4">
        <v>303.26799999999997</v>
      </c>
      <c r="M161" s="4">
        <v>303.26799999999997</v>
      </c>
      <c r="N161" s="4">
        <v>303.26799999999997</v>
      </c>
      <c r="O161" s="4">
        <v>303.26799999999997</v>
      </c>
      <c r="P161" s="4">
        <v>764</v>
      </c>
      <c r="Q161" s="3" t="s">
        <v>26</v>
      </c>
      <c r="R161" s="3">
        <v>0</v>
      </c>
      <c r="S161" s="3">
        <v>0</v>
      </c>
      <c r="T161" s="3">
        <v>55</v>
      </c>
      <c r="U161" s="3">
        <v>20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441.31</v>
      </c>
      <c r="X161" s="4">
        <f>IF(ISERROR(VLOOKUP($U$161,'TAR FIN'!$A$1:$O$88,15,0)),0,VLOOKUP($U$161,'TAR FIN'!$A$1:$O$88,15,0))</f>
        <v>132.22999999999999</v>
      </c>
      <c r="Y161" s="4"/>
      <c r="Z161" s="4">
        <f ca="1">('TUSD BE'!$AM$33+'TUSD BF'!$AM$33+'TUSD CVA'!$AM$33)*(1-CUSTOS!$M$38)</f>
        <v>554.80001091929842</v>
      </c>
      <c r="AA161" s="4">
        <f>('TE BE'!$AB$23+'TE BF'!$AB$23+'TE CVA'!$AB$23)*(1-CUSTOS!$M$38)</f>
        <v>128.42529768213717</v>
      </c>
      <c r="AB161" s="4">
        <f t="shared" si="8"/>
        <v>0</v>
      </c>
      <c r="AC161" s="4">
        <f>(L161-M161)*(W161+X161)+($W$64+$X$64-$W$161-$X$161)*(L161)</f>
        <v>23715.557600000004</v>
      </c>
      <c r="AD161" s="4">
        <f t="shared" si="9"/>
        <v>0</v>
      </c>
      <c r="AE161" s="4">
        <f ca="1">(L161-M161)*(Z161+AA161)+($Z$64+$AA$64-$Z$161-$AA$161)*(L161)</f>
        <v>13225.555716315323</v>
      </c>
      <c r="AF161" s="3" t="s">
        <v>647</v>
      </c>
    </row>
    <row r="162" spans="1:32" ht="11.25" customHeight="1" x14ac:dyDescent="0.25">
      <c r="A162" s="3" t="s">
        <v>27</v>
      </c>
      <c r="B162" s="3" t="s">
        <v>43</v>
      </c>
      <c r="C162" s="3" t="s">
        <v>23</v>
      </c>
      <c r="D162" s="3" t="s">
        <v>44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44470</v>
      </c>
      <c r="J162" s="4">
        <v>0</v>
      </c>
      <c r="K162" s="4">
        <v>0</v>
      </c>
      <c r="L162" s="4">
        <v>-1</v>
      </c>
      <c r="M162" s="4">
        <v>-1</v>
      </c>
      <c r="N162" s="4">
        <v>-1</v>
      </c>
      <c r="O162" s="4">
        <v>-1</v>
      </c>
      <c r="P162" s="4">
        <v>0</v>
      </c>
      <c r="Q162" s="3" t="s">
        <v>26</v>
      </c>
      <c r="R162" s="3">
        <v>0</v>
      </c>
      <c r="S162" s="3">
        <v>0</v>
      </c>
      <c r="T162" s="3">
        <v>55</v>
      </c>
      <c r="U162" s="3">
        <v>20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441.31</v>
      </c>
      <c r="X162" s="4">
        <f>IF(ISERROR(VLOOKUP($U$162,'TAR FIN'!$A$1:$O$88,15,0)),0,VLOOKUP($U$162,'TAR FIN'!$A$1:$O$88,15,0))</f>
        <v>132.22999999999999</v>
      </c>
      <c r="Y162" s="4"/>
      <c r="Z162" s="4">
        <f ca="1">('TUSD BE'!$AM$33+'TUSD BF'!$AM$33+'TUSD CVA'!$AM$33)*(1-CUSTOS!$M$38)</f>
        <v>554.80001091929842</v>
      </c>
      <c r="AA162" s="4">
        <f>('TE BE'!$AB$23+'TE BF'!$AB$23+'TE CVA'!$AB$23)*(1-CUSTOS!$M$38)</f>
        <v>128.42529768213717</v>
      </c>
      <c r="AB162" s="4">
        <f t="shared" si="8"/>
        <v>0</v>
      </c>
      <c r="AC162" s="4">
        <f>(L162-M162)*(W162+X162)+($W$64+$X$64-$W$162-$X$162)*(L162)</f>
        <v>-78.200000000000017</v>
      </c>
      <c r="AD162" s="4">
        <f t="shared" si="9"/>
        <v>0</v>
      </c>
      <c r="AE162" s="4">
        <f ca="1">(L162-M162)*(Z162+AA162)+($Z$64+$AA$64-$Z$162-$AA$162)*(L162)</f>
        <v>-43.610126080942678</v>
      </c>
      <c r="AF162" s="3" t="s">
        <v>647</v>
      </c>
    </row>
    <row r="163" spans="1:32" ht="11.25" customHeight="1" x14ac:dyDescent="0.25">
      <c r="A163" s="3" t="s">
        <v>28</v>
      </c>
      <c r="B163" s="3" t="s">
        <v>43</v>
      </c>
      <c r="C163" s="3" t="s">
        <v>23</v>
      </c>
      <c r="D163" s="3" t="s">
        <v>44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0.56699999999999995</v>
      </c>
      <c r="M163" s="4">
        <v>0.56699999999999995</v>
      </c>
      <c r="N163" s="4">
        <v>0.56699999999999995</v>
      </c>
      <c r="O163" s="4">
        <v>0.56699999999999995</v>
      </c>
      <c r="P163" s="4">
        <v>4</v>
      </c>
      <c r="Q163" s="3" t="s">
        <v>26</v>
      </c>
      <c r="R163" s="3">
        <v>0</v>
      </c>
      <c r="S163" s="3">
        <v>0</v>
      </c>
      <c r="T163" s="3">
        <v>55</v>
      </c>
      <c r="U163" s="3">
        <v>20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441.31</v>
      </c>
      <c r="X163" s="4">
        <f>IF(ISERROR(VLOOKUP($U$163,'TAR FIN'!$A$1:$O$88,15,0)),0,VLOOKUP($U$163,'TAR FIN'!$A$1:$O$88,15,0))</f>
        <v>132.22999999999999</v>
      </c>
      <c r="Y163" s="4"/>
      <c r="Z163" s="4">
        <f ca="1">('TUSD BE'!$AM$33+'TUSD BF'!$AM$33+'TUSD CVA'!$AM$33)*(1-CUSTOS!$M$38)</f>
        <v>554.80001091929842</v>
      </c>
      <c r="AA163" s="4">
        <f>('TE BE'!$AB$23+'TE BF'!$AB$23+'TE CVA'!$AB$23)*(1-CUSTOS!$M$38)</f>
        <v>128.42529768213717</v>
      </c>
      <c r="AB163" s="4">
        <f t="shared" si="8"/>
        <v>0</v>
      </c>
      <c r="AC163" s="4">
        <f>(L163-M163)*(W163+X163)+($W$64+$X$64-$W$163-$X$163)*(L163)</f>
        <v>44.339400000000005</v>
      </c>
      <c r="AD163" s="4">
        <f t="shared" si="9"/>
        <v>0</v>
      </c>
      <c r="AE163" s="4">
        <f ca="1">(L163-M163)*(Z163+AA163)+($Z$64+$AA$64-$Z$163-$AA$163)*(L163)</f>
        <v>24.726941487894496</v>
      </c>
      <c r="AF163" s="3" t="s">
        <v>647</v>
      </c>
    </row>
    <row r="164" spans="1:32" ht="11.25" customHeight="1" x14ac:dyDescent="0.25">
      <c r="A164" s="3" t="s">
        <v>21</v>
      </c>
      <c r="B164" s="3" t="s">
        <v>43</v>
      </c>
      <c r="C164" s="3" t="s">
        <v>23</v>
      </c>
      <c r="D164" s="3" t="s">
        <v>44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335.06099999999998</v>
      </c>
      <c r="M164" s="4">
        <v>335.06099999999998</v>
      </c>
      <c r="N164" s="4">
        <v>335.06099999999998</v>
      </c>
      <c r="O164" s="4">
        <v>335.06099999999998</v>
      </c>
      <c r="P164" s="4">
        <v>764</v>
      </c>
      <c r="Q164" s="3" t="s">
        <v>26</v>
      </c>
      <c r="R164" s="3">
        <v>0</v>
      </c>
      <c r="S164" s="3">
        <v>0</v>
      </c>
      <c r="T164" s="3">
        <v>55</v>
      </c>
      <c r="U164" s="3">
        <v>20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441.31</v>
      </c>
      <c r="X164" s="4">
        <f>IF(ISERROR(VLOOKUP($U$164,'TAR FIN'!$A$1:$O$88,15,0)),0,VLOOKUP($U$164,'TAR FIN'!$A$1:$O$88,15,0))</f>
        <v>132.22999999999999</v>
      </c>
      <c r="Y164" s="4"/>
      <c r="Z164" s="4">
        <f ca="1">('TUSD BE'!$AM$33+'TUSD BF'!$AM$33+'TUSD CVA'!$AM$33)*(1-CUSTOS!$M$38)</f>
        <v>554.80001091929842</v>
      </c>
      <c r="AA164" s="4">
        <f>('TE BE'!$AB$23+'TE BF'!$AB$23+'TE CVA'!$AB$23)*(1-CUSTOS!$M$38)</f>
        <v>128.42529768213717</v>
      </c>
      <c r="AB164" s="4">
        <f t="shared" si="8"/>
        <v>0</v>
      </c>
      <c r="AC164" s="4">
        <f>(L164-M164)*(W164+X164)+($W$64+$X$64-$W$164-$X$164)*(L164)</f>
        <v>26201.770200000003</v>
      </c>
      <c r="AD164" s="4">
        <f t="shared" si="9"/>
        <v>0</v>
      </c>
      <c r="AE164" s="4">
        <f ca="1">(L164-M164)*(Z164+AA164)+($Z$64+$AA$64-$Z$164-$AA$164)*(L164)</f>
        <v>14612.052454806733</v>
      </c>
      <c r="AF164" s="3" t="s">
        <v>647</v>
      </c>
    </row>
    <row r="165" spans="1:32" ht="11.25" customHeight="1" x14ac:dyDescent="0.25">
      <c r="A165" s="3" t="s">
        <v>27</v>
      </c>
      <c r="B165" s="3" t="s">
        <v>43</v>
      </c>
      <c r="C165" s="3" t="s">
        <v>23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44501</v>
      </c>
      <c r="J165" s="4">
        <v>0</v>
      </c>
      <c r="K165" s="4">
        <v>0</v>
      </c>
      <c r="L165" s="4">
        <v>-1.5720000000000001</v>
      </c>
      <c r="M165" s="4">
        <v>-1.5720000000000001</v>
      </c>
      <c r="N165" s="4">
        <v>-1.5720000000000001</v>
      </c>
      <c r="O165" s="4">
        <v>-1.5720000000000001</v>
      </c>
      <c r="P165" s="4">
        <v>0</v>
      </c>
      <c r="Q165" s="3" t="s">
        <v>26</v>
      </c>
      <c r="R165" s="3">
        <v>0</v>
      </c>
      <c r="S165" s="3">
        <v>0</v>
      </c>
      <c r="T165" s="3">
        <v>55</v>
      </c>
      <c r="U165" s="3">
        <v>20</v>
      </c>
      <c r="V165" s="4">
        <f>IF(ISERROR(VLOOKUP($S$165,'TAR FIN'!$A$1:$O$88,15,0)),0,VLOOKUP($S$165,'TAR FIN'!$A$1:$O$88,15,0))</f>
        <v>0</v>
      </c>
      <c r="W165" s="4">
        <f>IF(ISERROR(VLOOKUP($T$165,'TAR FIN'!$A$1:$O$88,15,0)),0,VLOOKUP($T$165,'TAR FIN'!$A$1:$O$88,15,0))</f>
        <v>441.31</v>
      </c>
      <c r="X165" s="4">
        <f>IF(ISERROR(VLOOKUP($U$165,'TAR FIN'!$A$1:$O$88,15,0)),0,VLOOKUP($U$165,'TAR FIN'!$A$1:$O$88,15,0))</f>
        <v>132.22999999999999</v>
      </c>
      <c r="Y165" s="4"/>
      <c r="Z165" s="4">
        <f ca="1">('TUSD BE'!$AM$33+'TUSD BF'!$AM$33+'TUSD CVA'!$AM$33)*(1-CUSTOS!$M$38)</f>
        <v>554.80001091929842</v>
      </c>
      <c r="AA165" s="4">
        <f>('TE BE'!$AB$23+'TE BF'!$AB$23+'TE CVA'!$AB$23)*(1-CUSTOS!$M$38)</f>
        <v>128.42529768213717</v>
      </c>
      <c r="AB165" s="4">
        <f t="shared" si="8"/>
        <v>0</v>
      </c>
      <c r="AC165" s="4">
        <f>(L165-M165)*(W165+X165)+($W$64+$X$64-$W$165-$X$165)*(L165)</f>
        <v>-122.93040000000003</v>
      </c>
      <c r="AD165" s="4">
        <f t="shared" si="9"/>
        <v>0</v>
      </c>
      <c r="AE165" s="4">
        <f ca="1">(L165-M165)*(Z165+AA165)+($Z$64+$AA$64-$Z$165-$AA$165)*(L165)</f>
        <v>-68.555118199241889</v>
      </c>
      <c r="AF165" s="3" t="s">
        <v>647</v>
      </c>
    </row>
    <row r="166" spans="1:32" ht="11.25" customHeight="1" x14ac:dyDescent="0.25">
      <c r="A166" s="3" t="s">
        <v>28</v>
      </c>
      <c r="B166" s="3" t="s">
        <v>43</v>
      </c>
      <c r="C166" s="3" t="s">
        <v>23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44501</v>
      </c>
      <c r="J166" s="4">
        <v>0</v>
      </c>
      <c r="K166" s="4">
        <v>0</v>
      </c>
      <c r="L166" s="4">
        <v>1.4790000000000001</v>
      </c>
      <c r="M166" s="4">
        <v>1.4790000000000001</v>
      </c>
      <c r="N166" s="4">
        <v>1.4790000000000001</v>
      </c>
      <c r="O166" s="4">
        <v>1.4790000000000001</v>
      </c>
      <c r="P166" s="4">
        <v>6</v>
      </c>
      <c r="Q166" s="3" t="s">
        <v>26</v>
      </c>
      <c r="R166" s="3">
        <v>0</v>
      </c>
      <c r="S166" s="3">
        <v>0</v>
      </c>
      <c r="T166" s="3">
        <v>55</v>
      </c>
      <c r="U166" s="3">
        <v>20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441.31</v>
      </c>
      <c r="X166" s="4">
        <f>IF(ISERROR(VLOOKUP($U$166,'TAR FIN'!$A$1:$O$88,15,0)),0,VLOOKUP($U$166,'TAR FIN'!$A$1:$O$88,15,0))</f>
        <v>132.22999999999999</v>
      </c>
      <c r="Y166" s="4"/>
      <c r="Z166" s="4">
        <f ca="1">('TUSD BE'!$AM$33+'TUSD BF'!$AM$33+'TUSD CVA'!$AM$33)*(1-CUSTOS!$M$38)</f>
        <v>554.80001091929842</v>
      </c>
      <c r="AA166" s="4">
        <f>('TE BE'!$AB$23+'TE BF'!$AB$23+'TE CVA'!$AB$23)*(1-CUSTOS!$M$38)</f>
        <v>128.42529768213717</v>
      </c>
      <c r="AB166" s="4">
        <f t="shared" si="8"/>
        <v>0</v>
      </c>
      <c r="AC166" s="4">
        <f>(L166-M166)*(W166+X166)+($W$64+$X$64-$W$166-$X$166)*(L166)</f>
        <v>115.65780000000004</v>
      </c>
      <c r="AD166" s="4">
        <f t="shared" si="9"/>
        <v>0</v>
      </c>
      <c r="AE166" s="4">
        <f ca="1">(L166-M166)*(Z166+AA166)+($Z$64+$AA$64-$Z$166-$AA$166)*(L166)</f>
        <v>64.499376473714221</v>
      </c>
      <c r="AF166" s="3" t="s">
        <v>647</v>
      </c>
    </row>
    <row r="167" spans="1:32" ht="11.25" customHeight="1" x14ac:dyDescent="0.25">
      <c r="A167" s="3" t="s">
        <v>21</v>
      </c>
      <c r="B167" s="3" t="s">
        <v>43</v>
      </c>
      <c r="C167" s="3" t="s">
        <v>23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44531</v>
      </c>
      <c r="J167" s="4">
        <v>0</v>
      </c>
      <c r="K167" s="4">
        <v>0</v>
      </c>
      <c r="L167" s="4">
        <v>319.11</v>
      </c>
      <c r="M167" s="4">
        <v>319.11</v>
      </c>
      <c r="N167" s="4">
        <v>319.11</v>
      </c>
      <c r="O167" s="4">
        <v>319.11</v>
      </c>
      <c r="P167" s="4">
        <v>762</v>
      </c>
      <c r="Q167" s="3" t="s">
        <v>26</v>
      </c>
      <c r="R167" s="3">
        <v>0</v>
      </c>
      <c r="S167" s="3">
        <v>0</v>
      </c>
      <c r="T167" s="3">
        <v>55</v>
      </c>
      <c r="U167" s="3">
        <v>20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441.31</v>
      </c>
      <c r="X167" s="4">
        <f>IF(ISERROR(VLOOKUP($U$167,'TAR FIN'!$A$1:$O$88,15,0)),0,VLOOKUP($U$167,'TAR FIN'!$A$1:$O$88,15,0))</f>
        <v>132.22999999999999</v>
      </c>
      <c r="Y167" s="4"/>
      <c r="Z167" s="4">
        <f ca="1">('TUSD BE'!$AM$33+'TUSD BF'!$AM$33+'TUSD CVA'!$AM$33)*(1-CUSTOS!$M$38)</f>
        <v>554.80001091929842</v>
      </c>
      <c r="AA167" s="4">
        <f>('TE BE'!$AB$23+'TE BF'!$AB$23+'TE CVA'!$AB$23)*(1-CUSTOS!$M$38)</f>
        <v>128.42529768213717</v>
      </c>
      <c r="AB167" s="4">
        <f t="shared" si="8"/>
        <v>0</v>
      </c>
      <c r="AC167" s="4">
        <f>(L167-M167)*(W167+X167)+($W$64+$X$64-$W$167-$X$167)*(L167)</f>
        <v>24954.402000000006</v>
      </c>
      <c r="AD167" s="4">
        <f t="shared" si="9"/>
        <v>0</v>
      </c>
      <c r="AE167" s="4">
        <f ca="1">(L167-M167)*(Z167+AA167)+($Z$64+$AA$64-$Z$167-$AA$167)*(L167)</f>
        <v>13916.427333689619</v>
      </c>
      <c r="AF167" s="3" t="s">
        <v>647</v>
      </c>
    </row>
    <row r="168" spans="1:32" ht="11.25" customHeight="1" x14ac:dyDescent="0.25">
      <c r="A168" s="3" t="s">
        <v>27</v>
      </c>
      <c r="B168" s="3" t="s">
        <v>43</v>
      </c>
      <c r="C168" s="3" t="s">
        <v>23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44531</v>
      </c>
      <c r="J168" s="4">
        <v>0</v>
      </c>
      <c r="K168" s="4">
        <v>0</v>
      </c>
      <c r="L168" s="4">
        <v>-0.13400000000000001</v>
      </c>
      <c r="M168" s="4">
        <v>-0.13400000000000001</v>
      </c>
      <c r="N168" s="4">
        <v>-0.13400000000000001</v>
      </c>
      <c r="O168" s="4">
        <v>-0.13400000000000001</v>
      </c>
      <c r="P168" s="4">
        <v>0</v>
      </c>
      <c r="Q168" s="3" t="s">
        <v>26</v>
      </c>
      <c r="R168" s="3">
        <v>0</v>
      </c>
      <c r="S168" s="3">
        <v>0</v>
      </c>
      <c r="T168" s="3">
        <v>55</v>
      </c>
      <c r="U168" s="3">
        <v>20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441.31</v>
      </c>
      <c r="X168" s="4">
        <f>IF(ISERROR(VLOOKUP($U$168,'TAR FIN'!$A$1:$O$88,15,0)),0,VLOOKUP($U$168,'TAR FIN'!$A$1:$O$88,15,0))</f>
        <v>132.22999999999999</v>
      </c>
      <c r="Y168" s="4"/>
      <c r="Z168" s="4">
        <f ca="1">('TUSD BE'!$AM$33+'TUSD BF'!$AM$33+'TUSD CVA'!$AM$33)*(1-CUSTOS!$M$38)</f>
        <v>554.80001091929842</v>
      </c>
      <c r="AA168" s="4">
        <f>('TE BE'!$AB$23+'TE BF'!$AB$23+'TE CVA'!$AB$23)*(1-CUSTOS!$M$38)</f>
        <v>128.42529768213717</v>
      </c>
      <c r="AB168" s="4">
        <f t="shared" si="8"/>
        <v>0</v>
      </c>
      <c r="AC168" s="4">
        <f>(L168-M168)*(W168+X168)+($W$64+$X$64-$W$168-$X$168)*(L168)</f>
        <v>-10.478800000000003</v>
      </c>
      <c r="AD168" s="4">
        <f t="shared" si="9"/>
        <v>0</v>
      </c>
      <c r="AE168" s="4">
        <f ca="1">(L168-M168)*(Z168+AA168)+($Z$64+$AA$64-$Z$168-$AA$168)*(L168)</f>
        <v>-5.8437568948463188</v>
      </c>
      <c r="AF168" s="3" t="s">
        <v>647</v>
      </c>
    </row>
    <row r="169" spans="1:32" ht="11.25" customHeight="1" x14ac:dyDescent="0.25">
      <c r="A169" s="3" t="s">
        <v>28</v>
      </c>
      <c r="B169" s="3" t="s">
        <v>43</v>
      </c>
      <c r="C169" s="3" t="s">
        <v>23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2.0459999999999998</v>
      </c>
      <c r="M169" s="4">
        <v>2.0459999999999998</v>
      </c>
      <c r="N169" s="4">
        <v>2.0459999999999998</v>
      </c>
      <c r="O169" s="4">
        <v>2.0459999999999998</v>
      </c>
      <c r="P169" s="4">
        <v>8</v>
      </c>
      <c r="Q169" s="3" t="s">
        <v>26</v>
      </c>
      <c r="R169" s="3">
        <v>0</v>
      </c>
      <c r="S169" s="3">
        <v>0</v>
      </c>
      <c r="T169" s="3">
        <v>55</v>
      </c>
      <c r="U169" s="3">
        <v>20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441.31</v>
      </c>
      <c r="X169" s="4">
        <f>IF(ISERROR(VLOOKUP($U$169,'TAR FIN'!$A$1:$O$88,15,0)),0,VLOOKUP($U$169,'TAR FIN'!$A$1:$O$88,15,0))</f>
        <v>132.22999999999999</v>
      </c>
      <c r="Y169" s="4"/>
      <c r="Z169" s="4">
        <f ca="1">('TUSD BE'!$AM$33+'TUSD BF'!$AM$33+'TUSD CVA'!$AM$33)*(1-CUSTOS!$M$38)</f>
        <v>554.80001091929842</v>
      </c>
      <c r="AA169" s="4">
        <f>('TE BE'!$AB$23+'TE BF'!$AB$23+'TE CVA'!$AB$23)*(1-CUSTOS!$M$38)</f>
        <v>128.42529768213717</v>
      </c>
      <c r="AB169" s="4">
        <f t="shared" si="8"/>
        <v>0</v>
      </c>
      <c r="AC169" s="4">
        <f>(L169-M169)*(W169+X169)+($W$64+$X$64-$W$169-$X$169)*(L169)</f>
        <v>159.99720000000002</v>
      </c>
      <c r="AD169" s="4">
        <f t="shared" si="9"/>
        <v>0</v>
      </c>
      <c r="AE169" s="4">
        <f ca="1">(L169-M169)*(Z169+AA169)+($Z$64+$AA$64-$Z$169-$AA$169)*(L169)</f>
        <v>89.226317961608714</v>
      </c>
      <c r="AF169" s="3" t="s">
        <v>647</v>
      </c>
    </row>
    <row r="170" spans="1:32" ht="11.25" customHeight="1" x14ac:dyDescent="0.25">
      <c r="A170" s="3" t="s">
        <v>21</v>
      </c>
      <c r="B170" s="3" t="s">
        <v>43</v>
      </c>
      <c r="C170" s="3" t="s">
        <v>23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318.49099999999999</v>
      </c>
      <c r="M170" s="4">
        <v>318.49099999999999</v>
      </c>
      <c r="N170" s="4">
        <v>318.49099999999999</v>
      </c>
      <c r="O170" s="4">
        <v>318.49099999999999</v>
      </c>
      <c r="P170" s="4">
        <v>759</v>
      </c>
      <c r="Q170" s="3" t="s">
        <v>26</v>
      </c>
      <c r="R170" s="3">
        <v>0</v>
      </c>
      <c r="S170" s="3">
        <v>0</v>
      </c>
      <c r="T170" s="3">
        <v>55</v>
      </c>
      <c r="U170" s="3">
        <v>20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441.31</v>
      </c>
      <c r="X170" s="4">
        <f>IF(ISERROR(VLOOKUP($U$170,'TAR FIN'!$A$1:$O$88,15,0)),0,VLOOKUP($U$170,'TAR FIN'!$A$1:$O$88,15,0))</f>
        <v>132.22999999999999</v>
      </c>
      <c r="Y170" s="4"/>
      <c r="Z170" s="4">
        <f ca="1">('TUSD BE'!$AM$33+'TUSD BF'!$AM$33+'TUSD CVA'!$AM$33)*(1-CUSTOS!$M$38)</f>
        <v>554.80001091929842</v>
      </c>
      <c r="AA170" s="4">
        <f>('TE BE'!$AB$23+'TE BF'!$AB$23+'TE CVA'!$AB$23)*(1-CUSTOS!$M$38)</f>
        <v>128.42529768213717</v>
      </c>
      <c r="AB170" s="4">
        <f t="shared" si="8"/>
        <v>0</v>
      </c>
      <c r="AC170" s="4">
        <f>(L170-M170)*(W170+X170)+($W$64+$X$64-$W$170-$X$170)*(L170)</f>
        <v>24905.996200000005</v>
      </c>
      <c r="AD170" s="4">
        <f t="shared" si="9"/>
        <v>0</v>
      </c>
      <c r="AE170" s="4">
        <f ca="1">(L170-M170)*(Z170+AA170)+($Z$64+$AA$64-$Z$170-$AA$170)*(L170)</f>
        <v>13889.432665645514</v>
      </c>
      <c r="AF170" s="3" t="s">
        <v>647</v>
      </c>
    </row>
    <row r="171" spans="1:32" ht="11.25" customHeight="1" x14ac:dyDescent="0.25">
      <c r="A171" s="3" t="s">
        <v>28</v>
      </c>
      <c r="B171" s="3" t="s">
        <v>43</v>
      </c>
      <c r="C171" s="3" t="s">
        <v>23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3.1779999999999999</v>
      </c>
      <c r="M171" s="4">
        <v>3.1779999999999999</v>
      </c>
      <c r="N171" s="4">
        <v>3.1779999999999999</v>
      </c>
      <c r="O171" s="4">
        <v>3.1779999999999999</v>
      </c>
      <c r="P171" s="4">
        <v>10</v>
      </c>
      <c r="Q171" s="3" t="s">
        <v>26</v>
      </c>
      <c r="R171" s="3">
        <v>0</v>
      </c>
      <c r="S171" s="3">
        <v>0</v>
      </c>
      <c r="T171" s="3">
        <v>55</v>
      </c>
      <c r="U171" s="3">
        <v>20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441.31</v>
      </c>
      <c r="X171" s="4">
        <f>IF(ISERROR(VLOOKUP($U$171,'TAR FIN'!$A$1:$O$88,15,0)),0,VLOOKUP($U$171,'TAR FIN'!$A$1:$O$88,15,0))</f>
        <v>132.22999999999999</v>
      </c>
      <c r="Y171" s="4"/>
      <c r="Z171" s="4">
        <f ca="1">('TUSD BE'!$AM$33+'TUSD BF'!$AM$33+'TUSD CVA'!$AM$33)*(1-CUSTOS!$M$38)</f>
        <v>554.80001091929842</v>
      </c>
      <c r="AA171" s="4">
        <f>('TE BE'!$AB$23+'TE BF'!$AB$23+'TE CVA'!$AB$23)*(1-CUSTOS!$M$38)</f>
        <v>128.42529768213717</v>
      </c>
      <c r="AB171" s="4">
        <f t="shared" si="8"/>
        <v>0</v>
      </c>
      <c r="AC171" s="4">
        <f>(L171-M171)*(W171+X171)+($W$64+$X$64-$W$171-$X$171)*(L171)</f>
        <v>248.51960000000005</v>
      </c>
      <c r="AD171" s="4">
        <f t="shared" si="9"/>
        <v>0</v>
      </c>
      <c r="AE171" s="4">
        <f ca="1">(L171-M171)*(Z171+AA171)+($Z$64+$AA$64-$Z$171-$AA$171)*(L171)</f>
        <v>138.59298068523583</v>
      </c>
      <c r="AF171" s="3" t="s">
        <v>647</v>
      </c>
    </row>
    <row r="172" spans="1:32" ht="11.25" customHeight="1" x14ac:dyDescent="0.25">
      <c r="A172" s="3" t="s">
        <v>21</v>
      </c>
      <c r="B172" s="3" t="s">
        <v>43</v>
      </c>
      <c r="C172" s="3" t="s">
        <v>23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268.94799999999998</v>
      </c>
      <c r="M172" s="4">
        <v>268.94799999999998</v>
      </c>
      <c r="N172" s="4">
        <v>268.94799999999998</v>
      </c>
      <c r="O172" s="4">
        <v>268.94799999999998</v>
      </c>
      <c r="P172" s="4">
        <v>755</v>
      </c>
      <c r="Q172" s="3" t="s">
        <v>26</v>
      </c>
      <c r="R172" s="3">
        <v>0</v>
      </c>
      <c r="S172" s="3">
        <v>0</v>
      </c>
      <c r="T172" s="3">
        <v>55</v>
      </c>
      <c r="U172" s="3">
        <v>20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441.31</v>
      </c>
      <c r="X172" s="4">
        <f>IF(ISERROR(VLOOKUP($U$172,'TAR FIN'!$A$1:$O$88,15,0)),0,VLOOKUP($U$172,'TAR FIN'!$A$1:$O$88,15,0))</f>
        <v>132.22999999999999</v>
      </c>
      <c r="Y172" s="4"/>
      <c r="Z172" s="4">
        <f ca="1">('TUSD BE'!$AM$33+'TUSD BF'!$AM$33+'TUSD CVA'!$AM$33)*(1-CUSTOS!$M$38)</f>
        <v>554.80001091929842</v>
      </c>
      <c r="AA172" s="4">
        <f>('TE BE'!$AB$23+'TE BF'!$AB$23+'TE CVA'!$AB$23)*(1-CUSTOS!$M$38)</f>
        <v>128.42529768213717</v>
      </c>
      <c r="AB172" s="4">
        <f t="shared" si="8"/>
        <v>0</v>
      </c>
      <c r="AC172" s="4">
        <f>(L172-M172)*(W172+X172)+($W$64+$X$64-$W$172-$X$172)*(L172)</f>
        <v>21031.733600000003</v>
      </c>
      <c r="AD172" s="4">
        <f t="shared" si="9"/>
        <v>0</v>
      </c>
      <c r="AE172" s="4">
        <f ca="1">(L172-M172)*(Z172+AA172)+($Z$64+$AA$64-$Z$172-$AA$172)*(L172)</f>
        <v>11728.856189217371</v>
      </c>
      <c r="AF172" s="3" t="s">
        <v>647</v>
      </c>
    </row>
    <row r="173" spans="1:32" ht="11.25" customHeight="1" x14ac:dyDescent="0.25">
      <c r="A173" s="3" t="s">
        <v>27</v>
      </c>
      <c r="B173" s="3" t="s">
        <v>43</v>
      </c>
      <c r="C173" s="3" t="s">
        <v>23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44593</v>
      </c>
      <c r="J173" s="4">
        <v>0</v>
      </c>
      <c r="K173" s="4">
        <v>0</v>
      </c>
      <c r="L173" s="4">
        <v>-0.13300000000000001</v>
      </c>
      <c r="M173" s="4">
        <v>-0.13300000000000001</v>
      </c>
      <c r="N173" s="4">
        <v>-0.13300000000000001</v>
      </c>
      <c r="O173" s="4">
        <v>-0.13300000000000001</v>
      </c>
      <c r="P173" s="4">
        <v>0</v>
      </c>
      <c r="Q173" s="3" t="s">
        <v>26</v>
      </c>
      <c r="R173" s="3">
        <v>0</v>
      </c>
      <c r="S173" s="3">
        <v>0</v>
      </c>
      <c r="T173" s="3">
        <v>55</v>
      </c>
      <c r="U173" s="3">
        <v>20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441.31</v>
      </c>
      <c r="X173" s="4">
        <f>IF(ISERROR(VLOOKUP($U$173,'TAR FIN'!$A$1:$O$88,15,0)),0,VLOOKUP($U$173,'TAR FIN'!$A$1:$O$88,15,0))</f>
        <v>132.22999999999999</v>
      </c>
      <c r="Y173" s="4"/>
      <c r="Z173" s="4">
        <f ca="1">('TUSD BE'!$AM$33+'TUSD BF'!$AM$33+'TUSD CVA'!$AM$33)*(1-CUSTOS!$M$38)</f>
        <v>554.80001091929842</v>
      </c>
      <c r="AA173" s="4">
        <f>('TE BE'!$AB$23+'TE BF'!$AB$23+'TE CVA'!$AB$23)*(1-CUSTOS!$M$38)</f>
        <v>128.42529768213717</v>
      </c>
      <c r="AB173" s="4">
        <f t="shared" si="8"/>
        <v>0</v>
      </c>
      <c r="AC173" s="4">
        <f>(L173-M173)*(W173+X173)+($W$64+$X$64-$W$173-$X$173)*(L173)</f>
        <v>-10.400600000000003</v>
      </c>
      <c r="AD173" s="4">
        <f t="shared" si="9"/>
        <v>0</v>
      </c>
      <c r="AE173" s="4">
        <f ca="1">(L173-M173)*(Z173+AA173)+($Z$64+$AA$64-$Z$173-$AA$173)*(L173)</f>
        <v>-5.8001467687653765</v>
      </c>
      <c r="AF173" s="3" t="s">
        <v>647</v>
      </c>
    </row>
    <row r="174" spans="1:32" ht="11.25" customHeight="1" x14ac:dyDescent="0.25">
      <c r="A174" s="3" t="s">
        <v>28</v>
      </c>
      <c r="B174" s="3" t="s">
        <v>43</v>
      </c>
      <c r="C174" s="3" t="s">
        <v>23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44593</v>
      </c>
      <c r="J174" s="4">
        <v>0</v>
      </c>
      <c r="K174" s="4">
        <v>0</v>
      </c>
      <c r="L174" s="4">
        <v>1.24</v>
      </c>
      <c r="M174" s="4">
        <v>1.24</v>
      </c>
      <c r="N174" s="4">
        <v>1.24</v>
      </c>
      <c r="O174" s="4">
        <v>1.24</v>
      </c>
      <c r="P174" s="4">
        <v>10</v>
      </c>
      <c r="Q174" s="3" t="s">
        <v>26</v>
      </c>
      <c r="R174" s="3">
        <v>0</v>
      </c>
      <c r="S174" s="3">
        <v>0</v>
      </c>
      <c r="T174" s="3">
        <v>55</v>
      </c>
      <c r="U174" s="3">
        <v>20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441.31</v>
      </c>
      <c r="X174" s="4">
        <f>IF(ISERROR(VLOOKUP($U$174,'TAR FIN'!$A$1:$O$88,15,0)),0,VLOOKUP($U$174,'TAR FIN'!$A$1:$O$88,15,0))</f>
        <v>132.22999999999999</v>
      </c>
      <c r="Y174" s="4"/>
      <c r="Z174" s="4">
        <f ca="1">('TUSD BE'!$AM$33+'TUSD BF'!$AM$33+'TUSD CVA'!$AM$33)*(1-CUSTOS!$M$38)</f>
        <v>554.80001091929842</v>
      </c>
      <c r="AA174" s="4">
        <f>('TE BE'!$AB$23+'TE BF'!$AB$23+'TE CVA'!$AB$23)*(1-CUSTOS!$M$38)</f>
        <v>128.42529768213717</v>
      </c>
      <c r="AB174" s="4">
        <f t="shared" si="8"/>
        <v>0</v>
      </c>
      <c r="AC174" s="4">
        <f>(L174-M174)*(W174+X174)+($W$64+$X$64-$W$174-$X$174)*(L174)</f>
        <v>96.968000000000018</v>
      </c>
      <c r="AD174" s="4">
        <f t="shared" si="9"/>
        <v>0</v>
      </c>
      <c r="AE174" s="4">
        <f ca="1">(L174-M174)*(Z174+AA174)+($Z$64+$AA$64-$Z$174-$AA$174)*(L174)</f>
        <v>54.076556340368917</v>
      </c>
      <c r="AF174" s="3" t="s">
        <v>647</v>
      </c>
    </row>
    <row r="175" spans="1:32" ht="11.25" customHeight="1" x14ac:dyDescent="0.25">
      <c r="A175" s="3" t="s">
        <v>21</v>
      </c>
      <c r="B175" s="3" t="s">
        <v>43</v>
      </c>
      <c r="C175" s="3" t="s">
        <v>23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44621</v>
      </c>
      <c r="J175" s="4">
        <v>0</v>
      </c>
      <c r="K175" s="4">
        <v>0</v>
      </c>
      <c r="L175" s="4">
        <v>247.32499999999999</v>
      </c>
      <c r="M175" s="4">
        <v>247.32499999999999</v>
      </c>
      <c r="N175" s="4">
        <v>247.32499999999999</v>
      </c>
      <c r="O175" s="4">
        <v>247.32499999999999</v>
      </c>
      <c r="P175" s="4">
        <v>753</v>
      </c>
      <c r="Q175" s="3" t="s">
        <v>26</v>
      </c>
      <c r="R175" s="3">
        <v>0</v>
      </c>
      <c r="S175" s="3">
        <v>0</v>
      </c>
      <c r="T175" s="3">
        <v>55</v>
      </c>
      <c r="U175" s="3">
        <v>20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441.31</v>
      </c>
      <c r="X175" s="4">
        <f>IF(ISERROR(VLOOKUP($U$175,'TAR FIN'!$A$1:$O$88,15,0)),0,VLOOKUP($U$175,'TAR FIN'!$A$1:$O$88,15,0))</f>
        <v>132.22999999999999</v>
      </c>
      <c r="Y175" s="4"/>
      <c r="Z175" s="4">
        <f ca="1">('TUSD BE'!$AM$33+'TUSD BF'!$AM$33+'TUSD CVA'!$AM$33)*(1-CUSTOS!$M$38)</f>
        <v>554.80001091929842</v>
      </c>
      <c r="AA175" s="4">
        <f>('TE BE'!$AB$23+'TE BF'!$AB$23+'TE CVA'!$AB$23)*(1-CUSTOS!$M$38)</f>
        <v>128.42529768213717</v>
      </c>
      <c r="AB175" s="4">
        <f t="shared" si="8"/>
        <v>0</v>
      </c>
      <c r="AC175" s="4">
        <f>(L175-M175)*(W175+X175)+($W$64+$X$64-$W$175-$X$175)*(L175)</f>
        <v>19340.815000000002</v>
      </c>
      <c r="AD175" s="4">
        <f t="shared" si="9"/>
        <v>0</v>
      </c>
      <c r="AE175" s="4">
        <f ca="1">(L175-M175)*(Z175+AA175)+($Z$64+$AA$64-$Z$175-$AA$175)*(L175)</f>
        <v>10785.874432969147</v>
      </c>
      <c r="AF175" s="3" t="s">
        <v>647</v>
      </c>
    </row>
    <row r="176" spans="1:32" ht="11.25" customHeight="1" x14ac:dyDescent="0.25">
      <c r="A176" s="3" t="s">
        <v>27</v>
      </c>
      <c r="B176" s="3" t="s">
        <v>43</v>
      </c>
      <c r="C176" s="3" t="s">
        <v>23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44621</v>
      </c>
      <c r="J176" s="4">
        <v>0</v>
      </c>
      <c r="K176" s="4">
        <v>0</v>
      </c>
      <c r="L176" s="4">
        <v>-0.27300000000000002</v>
      </c>
      <c r="M176" s="4">
        <v>-0.27300000000000002</v>
      </c>
      <c r="N176" s="4">
        <v>-0.27300000000000002</v>
      </c>
      <c r="O176" s="4">
        <v>-0.27300000000000002</v>
      </c>
      <c r="P176" s="4">
        <v>0</v>
      </c>
      <c r="Q176" s="3" t="s">
        <v>26</v>
      </c>
      <c r="R176" s="3">
        <v>0</v>
      </c>
      <c r="S176" s="3">
        <v>0</v>
      </c>
      <c r="T176" s="3">
        <v>55</v>
      </c>
      <c r="U176" s="3">
        <v>20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441.31</v>
      </c>
      <c r="X176" s="4">
        <f>IF(ISERROR(VLOOKUP($U$176,'TAR FIN'!$A$1:$O$88,15,0)),0,VLOOKUP($U$176,'TAR FIN'!$A$1:$O$88,15,0))</f>
        <v>132.22999999999999</v>
      </c>
      <c r="Y176" s="4"/>
      <c r="Z176" s="4">
        <f ca="1">('TUSD BE'!$AM$33+'TUSD BF'!$AM$33+'TUSD CVA'!$AM$33)*(1-CUSTOS!$M$38)</f>
        <v>554.80001091929842</v>
      </c>
      <c r="AA176" s="4">
        <f>('TE BE'!$AB$23+'TE BF'!$AB$23+'TE CVA'!$AB$23)*(1-CUSTOS!$M$38)</f>
        <v>128.42529768213717</v>
      </c>
      <c r="AB176" s="4">
        <f t="shared" si="8"/>
        <v>0</v>
      </c>
      <c r="AC176" s="4">
        <f>(L176-M176)*(W176+X176)+($W$64+$X$64-$W$176-$X$176)*(L176)</f>
        <v>-21.348600000000005</v>
      </c>
      <c r="AD176" s="4">
        <f t="shared" si="9"/>
        <v>0</v>
      </c>
      <c r="AE176" s="4">
        <f ca="1">(L176-M176)*(Z176+AA176)+($Z$64+$AA$64-$Z$176-$AA$176)*(L176)</f>
        <v>-11.905564420097352</v>
      </c>
      <c r="AF176" s="3" t="s">
        <v>647</v>
      </c>
    </row>
    <row r="177" spans="1:32" ht="11.25" customHeight="1" x14ac:dyDescent="0.25">
      <c r="A177" s="3" t="s">
        <v>28</v>
      </c>
      <c r="B177" s="3" t="s">
        <v>43</v>
      </c>
      <c r="C177" s="3" t="s">
        <v>23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44621</v>
      </c>
      <c r="J177" s="4">
        <v>0</v>
      </c>
      <c r="K177" s="4">
        <v>0</v>
      </c>
      <c r="L177" s="4">
        <v>4.9139999999999997</v>
      </c>
      <c r="M177" s="4">
        <v>4.9139999999999997</v>
      </c>
      <c r="N177" s="4">
        <v>4.9139999999999997</v>
      </c>
      <c r="O177" s="4">
        <v>4.9139999999999997</v>
      </c>
      <c r="P177" s="4">
        <v>12</v>
      </c>
      <c r="Q177" s="3" t="s">
        <v>26</v>
      </c>
      <c r="R177" s="3">
        <v>0</v>
      </c>
      <c r="S177" s="3">
        <v>0</v>
      </c>
      <c r="T177" s="3">
        <v>55</v>
      </c>
      <c r="U177" s="3">
        <v>20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441.31</v>
      </c>
      <c r="X177" s="4">
        <f>IF(ISERROR(VLOOKUP($U$177,'TAR FIN'!$A$1:$O$88,15,0)),0,VLOOKUP($U$177,'TAR FIN'!$A$1:$O$88,15,0))</f>
        <v>132.22999999999999</v>
      </c>
      <c r="Y177" s="4"/>
      <c r="Z177" s="4">
        <f ca="1">('TUSD BE'!$AM$33+'TUSD BF'!$AM$33+'TUSD CVA'!$AM$33)*(1-CUSTOS!$M$38)</f>
        <v>554.80001091929842</v>
      </c>
      <c r="AA177" s="4">
        <f>('TE BE'!$AB$23+'TE BF'!$AB$23+'TE CVA'!$AB$23)*(1-CUSTOS!$M$38)</f>
        <v>128.42529768213717</v>
      </c>
      <c r="AB177" s="4">
        <f t="shared" si="8"/>
        <v>0</v>
      </c>
      <c r="AC177" s="4">
        <f>(L177-M177)*(W177+X177)+($W$64+$X$64-$W$177-$X$177)*(L177)</f>
        <v>384.27480000000008</v>
      </c>
      <c r="AD177" s="4">
        <f t="shared" si="9"/>
        <v>0</v>
      </c>
      <c r="AE177" s="4">
        <f ca="1">(L177-M177)*(Z177+AA177)+($Z$64+$AA$64-$Z$177-$AA$177)*(L177)</f>
        <v>214.30015956175231</v>
      </c>
      <c r="AF177" s="3" t="s">
        <v>647</v>
      </c>
    </row>
    <row r="178" spans="1:32" ht="11.25" customHeight="1" x14ac:dyDescent="0.25">
      <c r="A178" s="3" t="s">
        <v>21</v>
      </c>
      <c r="B178" s="3" t="s">
        <v>43</v>
      </c>
      <c r="C178" s="3" t="s">
        <v>23</v>
      </c>
      <c r="D178" s="3" t="s">
        <v>44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44652</v>
      </c>
      <c r="J178" s="4">
        <v>0</v>
      </c>
      <c r="K178" s="4">
        <v>0</v>
      </c>
      <c r="L178" s="4">
        <v>226.661</v>
      </c>
      <c r="M178" s="4">
        <v>226.661</v>
      </c>
      <c r="N178" s="4">
        <v>226.661</v>
      </c>
      <c r="O178" s="4">
        <v>226.661</v>
      </c>
      <c r="P178" s="4">
        <v>756</v>
      </c>
      <c r="Q178" s="3" t="s">
        <v>26</v>
      </c>
      <c r="R178" s="3">
        <v>0</v>
      </c>
      <c r="S178" s="3">
        <v>0</v>
      </c>
      <c r="T178" s="3">
        <v>55</v>
      </c>
      <c r="U178" s="3">
        <v>20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441.31</v>
      </c>
      <c r="X178" s="4">
        <f>IF(ISERROR(VLOOKUP($U$178,'TAR FIN'!$A$1:$O$88,15,0)),0,VLOOKUP($U$178,'TAR FIN'!$A$1:$O$88,15,0))</f>
        <v>132.22999999999999</v>
      </c>
      <c r="Y178" s="4"/>
      <c r="Z178" s="4">
        <f ca="1">('TUSD BE'!$AM$33+'TUSD BF'!$AM$33+'TUSD CVA'!$AM$33)*(1-CUSTOS!$M$38)</f>
        <v>554.80001091929842</v>
      </c>
      <c r="AA178" s="4">
        <f>('TE BE'!$AB$23+'TE BF'!$AB$23+'TE CVA'!$AB$23)*(1-CUSTOS!$M$38)</f>
        <v>128.42529768213717</v>
      </c>
      <c r="AB178" s="4">
        <f t="shared" si="8"/>
        <v>0</v>
      </c>
      <c r="AC178" s="4">
        <f>(L178-M178)*(W178+X178)+($W$64+$X$64-$W$178-$X$178)*(L178)</f>
        <v>17724.890200000005</v>
      </c>
      <c r="AD178" s="4">
        <f t="shared" si="9"/>
        <v>0</v>
      </c>
      <c r="AE178" s="4">
        <f ca="1">(L178-M178)*(Z178+AA178)+($Z$64+$AA$64-$Z$178-$AA$178)*(L178)</f>
        <v>9884.7147876325489</v>
      </c>
      <c r="AF178" s="3" t="s">
        <v>647</v>
      </c>
    </row>
    <row r="179" spans="1:32" ht="11.25" customHeight="1" x14ac:dyDescent="0.25">
      <c r="A179" s="3" t="s">
        <v>27</v>
      </c>
      <c r="B179" s="3" t="s">
        <v>43</v>
      </c>
      <c r="C179" s="3" t="s">
        <v>23</v>
      </c>
      <c r="D179" s="3" t="s">
        <v>44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44652</v>
      </c>
      <c r="J179" s="4">
        <v>0</v>
      </c>
      <c r="K179" s="4">
        <v>0</v>
      </c>
      <c r="L179" s="4">
        <v>-0.55200000000000005</v>
      </c>
      <c r="M179" s="4">
        <v>-0.55200000000000005</v>
      </c>
      <c r="N179" s="4">
        <v>-0.55200000000000005</v>
      </c>
      <c r="O179" s="4">
        <v>-0.55200000000000005</v>
      </c>
      <c r="P179" s="4">
        <v>0</v>
      </c>
      <c r="Q179" s="3" t="s">
        <v>26</v>
      </c>
      <c r="R179" s="3">
        <v>0</v>
      </c>
      <c r="S179" s="3">
        <v>0</v>
      </c>
      <c r="T179" s="3">
        <v>55</v>
      </c>
      <c r="U179" s="3">
        <v>20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441.31</v>
      </c>
      <c r="X179" s="4">
        <f>IF(ISERROR(VLOOKUP($U$179,'TAR FIN'!$A$1:$O$88,15,0)),0,VLOOKUP($U$179,'TAR FIN'!$A$1:$O$88,15,0))</f>
        <v>132.22999999999999</v>
      </c>
      <c r="Y179" s="4"/>
      <c r="Z179" s="4">
        <f ca="1">('TUSD BE'!$AM$33+'TUSD BF'!$AM$33+'TUSD CVA'!$AM$33)*(1-CUSTOS!$M$38)</f>
        <v>554.80001091929842</v>
      </c>
      <c r="AA179" s="4">
        <f>('TE BE'!$AB$23+'TE BF'!$AB$23+'TE CVA'!$AB$23)*(1-CUSTOS!$M$38)</f>
        <v>128.42529768213717</v>
      </c>
      <c r="AB179" s="4">
        <f t="shared" si="8"/>
        <v>0</v>
      </c>
      <c r="AC179" s="4">
        <f>(L179-M179)*(W179+X179)+($W$64+$X$64-$W$179-$X$179)*(L179)</f>
        <v>-43.16640000000001</v>
      </c>
      <c r="AD179" s="4">
        <f t="shared" si="9"/>
        <v>0</v>
      </c>
      <c r="AE179" s="4">
        <f ca="1">(L179-M179)*(Z179+AA179)+($Z$64+$AA$64-$Z$179-$AA$179)*(L179)</f>
        <v>-24.072789596680359</v>
      </c>
      <c r="AF179" s="3" t="s">
        <v>647</v>
      </c>
    </row>
    <row r="180" spans="1:32" ht="11.25" customHeight="1" x14ac:dyDescent="0.25">
      <c r="A180" s="3" t="s">
        <v>28</v>
      </c>
      <c r="B180" s="3" t="s">
        <v>43</v>
      </c>
      <c r="C180" s="3" t="s">
        <v>23</v>
      </c>
      <c r="D180" s="3" t="s">
        <v>44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44652</v>
      </c>
      <c r="J180" s="4">
        <v>0</v>
      </c>
      <c r="K180" s="4">
        <v>0</v>
      </c>
      <c r="L180" s="4">
        <v>4.5819999999999999</v>
      </c>
      <c r="M180" s="4">
        <v>4.5819999999999999</v>
      </c>
      <c r="N180" s="4">
        <v>4.5819999999999999</v>
      </c>
      <c r="O180" s="4">
        <v>4.5819999999999999</v>
      </c>
      <c r="P180" s="4">
        <v>12</v>
      </c>
      <c r="Q180" s="3" t="s">
        <v>26</v>
      </c>
      <c r="R180" s="3">
        <v>0</v>
      </c>
      <c r="S180" s="3">
        <v>0</v>
      </c>
      <c r="T180" s="3">
        <v>55</v>
      </c>
      <c r="U180" s="3">
        <v>20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441.31</v>
      </c>
      <c r="X180" s="4">
        <f>IF(ISERROR(VLOOKUP($U$180,'TAR FIN'!$A$1:$O$88,15,0)),0,VLOOKUP($U$180,'TAR FIN'!$A$1:$O$88,15,0))</f>
        <v>132.22999999999999</v>
      </c>
      <c r="Y180" s="4"/>
      <c r="Z180" s="4">
        <f ca="1">('TUSD BE'!$AM$33+'TUSD BF'!$AM$33+'TUSD CVA'!$AM$33)*(1-CUSTOS!$M$38)</f>
        <v>554.80001091929842</v>
      </c>
      <c r="AA180" s="4">
        <f>('TE BE'!$AB$23+'TE BF'!$AB$23+'TE CVA'!$AB$23)*(1-CUSTOS!$M$38)</f>
        <v>128.42529768213717</v>
      </c>
      <c r="AB180" s="4">
        <f t="shared" si="8"/>
        <v>0</v>
      </c>
      <c r="AC180" s="4">
        <f>(L180-M180)*(W180+X180)+($W$64+$X$64-$W$180-$X$180)*(L180)</f>
        <v>358.31240000000008</v>
      </c>
      <c r="AD180" s="4">
        <f t="shared" si="9"/>
        <v>0</v>
      </c>
      <c r="AE180" s="4">
        <f ca="1">(L180-M180)*(Z180+AA180)+($Z$64+$AA$64-$Z$180-$AA$180)*(L180)</f>
        <v>199.82159770287933</v>
      </c>
      <c r="AF180" s="3" t="s">
        <v>647</v>
      </c>
    </row>
    <row r="181" spans="1:32" ht="11.25" customHeight="1" x14ac:dyDescent="0.25">
      <c r="A181" s="3" t="s">
        <v>21</v>
      </c>
      <c r="B181" s="3" t="s">
        <v>43</v>
      </c>
      <c r="C181" s="3" t="s">
        <v>23</v>
      </c>
      <c r="D181" s="3" t="s">
        <v>44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44682</v>
      </c>
      <c r="J181" s="4">
        <v>0</v>
      </c>
      <c r="K181" s="4">
        <v>0</v>
      </c>
      <c r="L181" s="4">
        <v>212.1</v>
      </c>
      <c r="M181" s="4">
        <v>212.1</v>
      </c>
      <c r="N181" s="4">
        <v>212.1</v>
      </c>
      <c r="O181" s="4">
        <v>212.1</v>
      </c>
      <c r="P181" s="4">
        <v>756</v>
      </c>
      <c r="Q181" s="3" t="s">
        <v>26</v>
      </c>
      <c r="R181" s="3">
        <v>0</v>
      </c>
      <c r="S181" s="3">
        <v>0</v>
      </c>
      <c r="T181" s="3">
        <v>55</v>
      </c>
      <c r="U181" s="3">
        <v>20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441.31</v>
      </c>
      <c r="X181" s="4">
        <f>IF(ISERROR(VLOOKUP($U$181,'TAR FIN'!$A$1:$O$88,15,0)),0,VLOOKUP($U$181,'TAR FIN'!$A$1:$O$88,15,0))</f>
        <v>132.22999999999999</v>
      </c>
      <c r="Y181" s="4"/>
      <c r="Z181" s="4">
        <f ca="1">('TUSD BE'!$AM$33+'TUSD BF'!$AM$33+'TUSD CVA'!$AM$33)*(1-CUSTOS!$M$38)</f>
        <v>554.80001091929842</v>
      </c>
      <c r="AA181" s="4">
        <f>('TE BE'!$AB$23+'TE BF'!$AB$23+'TE CVA'!$AB$23)*(1-CUSTOS!$M$38)</f>
        <v>128.42529768213717</v>
      </c>
      <c r="AB181" s="4">
        <f t="shared" si="8"/>
        <v>0</v>
      </c>
      <c r="AC181" s="4">
        <f>(L181-M181)*(W181+X181)+($W$64+$X$64-$W$181-$X$181)*(L181)</f>
        <v>16586.220000000005</v>
      </c>
      <c r="AD181" s="4">
        <f t="shared" si="9"/>
        <v>0</v>
      </c>
      <c r="AE181" s="4">
        <f ca="1">(L181-M181)*(Z181+AA181)+($Z$64+$AA$64-$Z$181-$AA$181)*(L181)</f>
        <v>9249.7077417679411</v>
      </c>
      <c r="AF181" s="3" t="s">
        <v>647</v>
      </c>
    </row>
    <row r="182" spans="1:32" ht="11.25" customHeight="1" x14ac:dyDescent="0.25">
      <c r="A182" s="3" t="s">
        <v>27</v>
      </c>
      <c r="B182" s="3" t="s">
        <v>43</v>
      </c>
      <c r="C182" s="3" t="s">
        <v>23</v>
      </c>
      <c r="D182" s="3" t="s">
        <v>44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0</v>
      </c>
      <c r="K182" s="4">
        <v>0</v>
      </c>
      <c r="L182" s="4">
        <v>-0.55500000000000005</v>
      </c>
      <c r="M182" s="4">
        <v>-0.55500000000000005</v>
      </c>
      <c r="N182" s="4">
        <v>-0.55500000000000005</v>
      </c>
      <c r="O182" s="4">
        <v>-0.55500000000000005</v>
      </c>
      <c r="P182" s="4">
        <v>0</v>
      </c>
      <c r="Q182" s="3" t="s">
        <v>26</v>
      </c>
      <c r="R182" s="3">
        <v>0</v>
      </c>
      <c r="S182" s="3">
        <v>0</v>
      </c>
      <c r="T182" s="3">
        <v>55</v>
      </c>
      <c r="U182" s="3">
        <v>20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441.31</v>
      </c>
      <c r="X182" s="4">
        <f>IF(ISERROR(VLOOKUP($U$182,'TAR FIN'!$A$1:$O$88,15,0)),0,VLOOKUP($U$182,'TAR FIN'!$A$1:$O$88,15,0))</f>
        <v>132.22999999999999</v>
      </c>
      <c r="Y182" s="4"/>
      <c r="Z182" s="4">
        <f ca="1">('TUSD BE'!$AM$33+'TUSD BF'!$AM$33+'TUSD CVA'!$AM$33)*(1-CUSTOS!$M$38)</f>
        <v>554.80001091929842</v>
      </c>
      <c r="AA182" s="4">
        <f>('TE BE'!$AB$23+'TE BF'!$AB$23+'TE CVA'!$AB$23)*(1-CUSTOS!$M$38)</f>
        <v>128.42529768213717</v>
      </c>
      <c r="AB182" s="4">
        <f t="shared" si="8"/>
        <v>0</v>
      </c>
      <c r="AC182" s="4">
        <f>(L182-M182)*(W182+X182)+($W$64+$X$64-$W$182-$X$182)*(L182)</f>
        <v>-43.40100000000001</v>
      </c>
      <c r="AD182" s="4">
        <f t="shared" si="9"/>
        <v>0</v>
      </c>
      <c r="AE182" s="4">
        <f ca="1">(L182-M182)*(Z182+AA182)+($Z$64+$AA$64-$Z$182-$AA$182)*(L182)</f>
        <v>-24.203619974923189</v>
      </c>
      <c r="AF182" s="3" t="s">
        <v>647</v>
      </c>
    </row>
    <row r="183" spans="1:32" ht="11.25" customHeight="1" x14ac:dyDescent="0.25">
      <c r="A183" s="3" t="s">
        <v>28</v>
      </c>
      <c r="B183" s="3" t="s">
        <v>43</v>
      </c>
      <c r="C183" s="3" t="s">
        <v>23</v>
      </c>
      <c r="D183" s="3" t="s">
        <v>44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44682</v>
      </c>
      <c r="J183" s="4">
        <v>0</v>
      </c>
      <c r="K183" s="4">
        <v>0</v>
      </c>
      <c r="L183" s="4">
        <v>3.8839999999999999</v>
      </c>
      <c r="M183" s="4">
        <v>3.8839999999999999</v>
      </c>
      <c r="N183" s="4">
        <v>3.8839999999999999</v>
      </c>
      <c r="O183" s="4">
        <v>3.8839999999999999</v>
      </c>
      <c r="P183" s="4">
        <v>12</v>
      </c>
      <c r="Q183" s="3" t="s">
        <v>26</v>
      </c>
      <c r="R183" s="3">
        <v>0</v>
      </c>
      <c r="S183" s="3">
        <v>0</v>
      </c>
      <c r="T183" s="3">
        <v>55</v>
      </c>
      <c r="U183" s="3">
        <v>20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441.31</v>
      </c>
      <c r="X183" s="4">
        <f>IF(ISERROR(VLOOKUP($U$183,'TAR FIN'!$A$1:$O$88,15,0)),0,VLOOKUP($U$183,'TAR FIN'!$A$1:$O$88,15,0))</f>
        <v>132.22999999999999</v>
      </c>
      <c r="Y183" s="4"/>
      <c r="Z183" s="4">
        <f ca="1">('TUSD BE'!$AM$33+'TUSD BF'!$AM$33+'TUSD CVA'!$AM$33)*(1-CUSTOS!$M$38)</f>
        <v>554.80001091929842</v>
      </c>
      <c r="AA183" s="4">
        <f>('TE BE'!$AB$23+'TE BF'!$AB$23+'TE CVA'!$AB$23)*(1-CUSTOS!$M$38)</f>
        <v>128.42529768213717</v>
      </c>
      <c r="AB183" s="4">
        <f t="shared" si="8"/>
        <v>0</v>
      </c>
      <c r="AC183" s="4">
        <f>(L183-M183)*(W183+X183)+($W$64+$X$64-$W$183-$X$183)*(L183)</f>
        <v>303.72880000000004</v>
      </c>
      <c r="AD183" s="4">
        <f t="shared" si="9"/>
        <v>0</v>
      </c>
      <c r="AE183" s="4">
        <f ca="1">(L183-M183)*(Z183+AA183)+($Z$64+$AA$64-$Z$183-$AA$183)*(L183)</f>
        <v>169.38172969838135</v>
      </c>
      <c r="AF183" s="3" t="s">
        <v>647</v>
      </c>
    </row>
    <row r="184" spans="1:32" ht="11.25" customHeight="1" x14ac:dyDescent="0.25">
      <c r="A184" s="3" t="s">
        <v>21</v>
      </c>
      <c r="B184" s="3" t="s">
        <v>43</v>
      </c>
      <c r="C184" s="3" t="s">
        <v>23</v>
      </c>
      <c r="D184" s="3" t="s">
        <v>44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44713</v>
      </c>
      <c r="J184" s="4">
        <v>0</v>
      </c>
      <c r="K184" s="4">
        <v>0</v>
      </c>
      <c r="L184" s="4">
        <v>228.16300000000001</v>
      </c>
      <c r="M184" s="4">
        <v>228.16300000000001</v>
      </c>
      <c r="N184" s="4">
        <v>228.16300000000001</v>
      </c>
      <c r="O184" s="4">
        <v>228.16300000000001</v>
      </c>
      <c r="P184" s="4">
        <v>756</v>
      </c>
      <c r="Q184" s="3" t="s">
        <v>26</v>
      </c>
      <c r="R184" s="3">
        <v>0</v>
      </c>
      <c r="S184" s="3">
        <v>0</v>
      </c>
      <c r="T184" s="3">
        <v>55</v>
      </c>
      <c r="U184" s="3">
        <v>20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441.31</v>
      </c>
      <c r="X184" s="4">
        <f>IF(ISERROR(VLOOKUP($U$184,'TAR FIN'!$A$1:$O$88,15,0)),0,VLOOKUP($U$184,'TAR FIN'!$A$1:$O$88,15,0))</f>
        <v>132.22999999999999</v>
      </c>
      <c r="Y184" s="4"/>
      <c r="Z184" s="4">
        <f ca="1">('TUSD BE'!$AM$33+'TUSD BF'!$AM$33+'TUSD CVA'!$AM$33)*(1-CUSTOS!$M$38)</f>
        <v>554.80001091929842</v>
      </c>
      <c r="AA184" s="4">
        <f>('TE BE'!$AB$23+'TE BF'!$AB$23+'TE CVA'!$AB$23)*(1-CUSTOS!$M$38)</f>
        <v>128.42529768213717</v>
      </c>
      <c r="AB184" s="4">
        <f t="shared" si="8"/>
        <v>0</v>
      </c>
      <c r="AC184" s="4">
        <f>(L184-M184)*(W184+X184)+($W$64+$X$64-$W$184-$X$184)*(L184)</f>
        <v>17842.346600000004</v>
      </c>
      <c r="AD184" s="4">
        <f t="shared" si="9"/>
        <v>0</v>
      </c>
      <c r="AE184" s="4">
        <f ca="1">(L184-M184)*(Z184+AA184)+($Z$64+$AA$64-$Z$184-$AA$184)*(L184)</f>
        <v>9950.2171970061245</v>
      </c>
      <c r="AF184" s="3" t="s">
        <v>647</v>
      </c>
    </row>
    <row r="185" spans="1:32" ht="11.25" customHeight="1" x14ac:dyDescent="0.25">
      <c r="A185" s="3" t="s">
        <v>27</v>
      </c>
      <c r="B185" s="3" t="s">
        <v>43</v>
      </c>
      <c r="C185" s="3" t="s">
        <v>23</v>
      </c>
      <c r="D185" s="3" t="s">
        <v>44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44713</v>
      </c>
      <c r="J185" s="4">
        <v>0</v>
      </c>
      <c r="K185" s="4">
        <v>0</v>
      </c>
      <c r="L185" s="4">
        <v>-0.50800000000000001</v>
      </c>
      <c r="M185" s="4">
        <v>-0.50800000000000001</v>
      </c>
      <c r="N185" s="4">
        <v>-0.50800000000000001</v>
      </c>
      <c r="O185" s="4">
        <v>-0.50800000000000001</v>
      </c>
      <c r="P185" s="4">
        <v>0</v>
      </c>
      <c r="Q185" s="3" t="s">
        <v>26</v>
      </c>
      <c r="R185" s="3">
        <v>0</v>
      </c>
      <c r="S185" s="3">
        <v>0</v>
      </c>
      <c r="T185" s="3">
        <v>55</v>
      </c>
      <c r="U185" s="3">
        <v>20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441.31</v>
      </c>
      <c r="X185" s="4">
        <f>IF(ISERROR(VLOOKUP($U$185,'TAR FIN'!$A$1:$O$88,15,0)),0,VLOOKUP($U$185,'TAR FIN'!$A$1:$O$88,15,0))</f>
        <v>132.22999999999999</v>
      </c>
      <c r="Y185" s="4"/>
      <c r="Z185" s="4">
        <f ca="1">('TUSD BE'!$AM$33+'TUSD BF'!$AM$33+'TUSD CVA'!$AM$33)*(1-CUSTOS!$M$38)</f>
        <v>554.80001091929842</v>
      </c>
      <c r="AA185" s="4">
        <f>('TE BE'!$AB$23+'TE BF'!$AB$23+'TE CVA'!$AB$23)*(1-CUSTOS!$M$38)</f>
        <v>128.42529768213717</v>
      </c>
      <c r="AB185" s="4">
        <f t="shared" si="8"/>
        <v>0</v>
      </c>
      <c r="AC185" s="4">
        <f>(L185-M185)*(W185+X185)+($W$64+$X$64-$W$185-$X$185)*(L185)</f>
        <v>-39.725600000000007</v>
      </c>
      <c r="AD185" s="4">
        <f t="shared" si="9"/>
        <v>0</v>
      </c>
      <c r="AE185" s="4">
        <f ca="1">(L185-M185)*(Z185+AA185)+($Z$64+$AA$64-$Z$185-$AA$185)*(L185)</f>
        <v>-22.153944049118881</v>
      </c>
      <c r="AF185" s="3" t="s">
        <v>647</v>
      </c>
    </row>
    <row r="186" spans="1:32" ht="11.25" customHeight="1" x14ac:dyDescent="0.25">
      <c r="A186" s="3" t="s">
        <v>28</v>
      </c>
      <c r="B186" s="3" t="s">
        <v>43</v>
      </c>
      <c r="C186" s="3" t="s">
        <v>23</v>
      </c>
      <c r="D186" s="3" t="s">
        <v>44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44713</v>
      </c>
      <c r="J186" s="4">
        <v>0</v>
      </c>
      <c r="K186" s="4">
        <v>0</v>
      </c>
      <c r="L186" s="4">
        <v>5.6390000000000002</v>
      </c>
      <c r="M186" s="4">
        <v>5.6390000000000002</v>
      </c>
      <c r="N186" s="4">
        <v>5.6390000000000002</v>
      </c>
      <c r="O186" s="4">
        <v>5.6390000000000002</v>
      </c>
      <c r="P186" s="4">
        <v>12</v>
      </c>
      <c r="Q186" s="3" t="s">
        <v>26</v>
      </c>
      <c r="R186" s="3">
        <v>0</v>
      </c>
      <c r="S186" s="3">
        <v>0</v>
      </c>
      <c r="T186" s="3">
        <v>55</v>
      </c>
      <c r="U186" s="3">
        <v>20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441.31</v>
      </c>
      <c r="X186" s="4">
        <f>IF(ISERROR(VLOOKUP($U$186,'TAR FIN'!$A$1:$O$88,15,0)),0,VLOOKUP($U$186,'TAR FIN'!$A$1:$O$88,15,0))</f>
        <v>132.22999999999999</v>
      </c>
      <c r="Y186" s="4"/>
      <c r="Z186" s="4">
        <f ca="1">('TUSD BE'!$AM$33+'TUSD BF'!$AM$33+'TUSD CVA'!$AM$33)*(1-CUSTOS!$M$38)</f>
        <v>554.80001091929842</v>
      </c>
      <c r="AA186" s="4">
        <f>('TE BE'!$AB$23+'TE BF'!$AB$23+'TE CVA'!$AB$23)*(1-CUSTOS!$M$38)</f>
        <v>128.42529768213717</v>
      </c>
      <c r="AB186" s="4">
        <f t="shared" si="8"/>
        <v>0</v>
      </c>
      <c r="AC186" s="4">
        <f>(L186-M186)*(W186+X186)+($W$64+$X$64-$W$186-$X$186)*(L186)</f>
        <v>440.96980000000013</v>
      </c>
      <c r="AD186" s="4">
        <f t="shared" si="9"/>
        <v>0</v>
      </c>
      <c r="AE186" s="4">
        <f ca="1">(L186-M186)*(Z186+AA186)+($Z$64+$AA$64-$Z$186-$AA$186)*(L186)</f>
        <v>245.91750097043578</v>
      </c>
      <c r="AF186" s="3" t="s">
        <v>647</v>
      </c>
    </row>
    <row r="187" spans="1:32" ht="11.25" customHeight="1" x14ac:dyDescent="0.25">
      <c r="A187" s="3" t="s">
        <v>21</v>
      </c>
      <c r="B187" s="3" t="s">
        <v>43</v>
      </c>
      <c r="C187" s="3" t="s">
        <v>23</v>
      </c>
      <c r="D187" s="3" t="s">
        <v>44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44743</v>
      </c>
      <c r="J187" s="4">
        <v>0</v>
      </c>
      <c r="K187" s="4">
        <v>0</v>
      </c>
      <c r="L187" s="4">
        <v>214.50700000000001</v>
      </c>
      <c r="M187" s="4">
        <v>214.50700000000001</v>
      </c>
      <c r="N187" s="4">
        <v>214.50700000000001</v>
      </c>
      <c r="O187" s="4">
        <v>214.50700000000001</v>
      </c>
      <c r="P187" s="4">
        <v>750</v>
      </c>
      <c r="Q187" s="3" t="s">
        <v>26</v>
      </c>
      <c r="R187" s="3">
        <v>0</v>
      </c>
      <c r="S187" s="3">
        <v>0</v>
      </c>
      <c r="T187" s="3">
        <v>55</v>
      </c>
      <c r="U187" s="3">
        <v>20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441.31</v>
      </c>
      <c r="X187" s="4">
        <f>IF(ISERROR(VLOOKUP($U$187,'TAR FIN'!$A$1:$O$88,15,0)),0,VLOOKUP($U$187,'TAR FIN'!$A$1:$O$88,15,0))</f>
        <v>132.22999999999999</v>
      </c>
      <c r="Y187" s="4"/>
      <c r="Z187" s="4">
        <f ca="1">('TUSD BE'!$AM$33+'TUSD BF'!$AM$33+'TUSD CVA'!$AM$33)*(1-CUSTOS!$M$38)</f>
        <v>554.80001091929842</v>
      </c>
      <c r="AA187" s="4">
        <f>('TE BE'!$AB$23+'TE BF'!$AB$23+'TE CVA'!$AB$23)*(1-CUSTOS!$M$38)</f>
        <v>128.42529768213717</v>
      </c>
      <c r="AB187" s="4">
        <f t="shared" si="8"/>
        <v>0</v>
      </c>
      <c r="AC187" s="4">
        <f>(L187-M187)*(W187+X187)+($W$64+$X$64-$W$187-$X$187)*(L187)</f>
        <v>16774.447400000005</v>
      </c>
      <c r="AD187" s="4">
        <f t="shared" si="9"/>
        <v>0</v>
      </c>
      <c r="AE187" s="4">
        <f ca="1">(L187-M187)*(Z187+AA187)+($Z$64+$AA$64-$Z$187-$AA$187)*(L187)</f>
        <v>9354.6773152447713</v>
      </c>
      <c r="AF187" s="3" t="s">
        <v>647</v>
      </c>
    </row>
    <row r="188" spans="1:32" ht="11.25" customHeight="1" x14ac:dyDescent="0.25">
      <c r="A188" s="3" t="s">
        <v>28</v>
      </c>
      <c r="B188" s="3" t="s">
        <v>43</v>
      </c>
      <c r="C188" s="3" t="s">
        <v>23</v>
      </c>
      <c r="D188" s="3" t="s">
        <v>44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44743</v>
      </c>
      <c r="J188" s="4">
        <v>0</v>
      </c>
      <c r="K188" s="4">
        <v>0</v>
      </c>
      <c r="L188" s="4">
        <v>5.5209999999999999</v>
      </c>
      <c r="M188" s="4">
        <v>5.5209999999999999</v>
      </c>
      <c r="N188" s="4">
        <v>5.5209999999999999</v>
      </c>
      <c r="O188" s="4">
        <v>5.5209999999999999</v>
      </c>
      <c r="P188" s="4">
        <v>12</v>
      </c>
      <c r="Q188" s="3" t="s">
        <v>26</v>
      </c>
      <c r="R188" s="3">
        <v>0</v>
      </c>
      <c r="S188" s="3">
        <v>0</v>
      </c>
      <c r="T188" s="3">
        <v>55</v>
      </c>
      <c r="U188" s="3">
        <v>20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441.31</v>
      </c>
      <c r="X188" s="4">
        <f>IF(ISERROR(VLOOKUP($U$188,'TAR FIN'!$A$1:$O$88,15,0)),0,VLOOKUP($U$188,'TAR FIN'!$A$1:$O$88,15,0))</f>
        <v>132.22999999999999</v>
      </c>
      <c r="Y188" s="4"/>
      <c r="Z188" s="4">
        <f ca="1">('TUSD BE'!$AM$33+'TUSD BF'!$AM$33+'TUSD CVA'!$AM$33)*(1-CUSTOS!$M$38)</f>
        <v>554.80001091929842</v>
      </c>
      <c r="AA188" s="4">
        <f>('TE BE'!$AB$23+'TE BF'!$AB$23+'TE CVA'!$AB$23)*(1-CUSTOS!$M$38)</f>
        <v>128.42529768213717</v>
      </c>
      <c r="AB188" s="4">
        <f t="shared" si="8"/>
        <v>0</v>
      </c>
      <c r="AC188" s="4">
        <f>(L188-M188)*(W188+X188)+($W$64+$X$64-$W$188-$X$188)*(L188)</f>
        <v>431.74220000000008</v>
      </c>
      <c r="AD188" s="4">
        <f t="shared" si="9"/>
        <v>0</v>
      </c>
      <c r="AE188" s="4">
        <f ca="1">(L188-M188)*(Z188+AA188)+($Z$64+$AA$64-$Z$188-$AA$188)*(L188)</f>
        <v>240.77150609288452</v>
      </c>
      <c r="AF188" s="3" t="s">
        <v>647</v>
      </c>
    </row>
    <row r="189" spans="1:32" ht="11.25" customHeight="1" x14ac:dyDescent="0.25">
      <c r="A189" s="3" t="s">
        <v>55</v>
      </c>
      <c r="B189" s="3" t="s">
        <v>43</v>
      </c>
      <c r="C189" s="3" t="s">
        <v>23</v>
      </c>
      <c r="D189" s="3" t="s">
        <v>44</v>
      </c>
      <c r="E189" s="3" t="s">
        <v>25</v>
      </c>
      <c r="F189" s="3" t="s">
        <v>25</v>
      </c>
      <c r="G189" s="3" t="s">
        <v>25</v>
      </c>
      <c r="H189" s="3" t="s">
        <v>25</v>
      </c>
      <c r="I189" s="6">
        <v>44774</v>
      </c>
      <c r="J189" s="4">
        <v>0</v>
      </c>
      <c r="K189" s="4">
        <v>0</v>
      </c>
      <c r="L189" s="4">
        <v>214.50700000000001</v>
      </c>
      <c r="M189" s="4">
        <v>214.50700000000001</v>
      </c>
      <c r="N189" s="4">
        <v>214.50700000000001</v>
      </c>
      <c r="O189" s="4">
        <v>214.50700000000001</v>
      </c>
      <c r="P189" s="4">
        <v>750</v>
      </c>
      <c r="Q189" s="3" t="s">
        <v>26</v>
      </c>
      <c r="R189" s="3">
        <v>0</v>
      </c>
      <c r="S189" s="3">
        <v>0</v>
      </c>
      <c r="T189" s="3">
        <v>55</v>
      </c>
      <c r="U189" s="3">
        <v>20</v>
      </c>
      <c r="V189" s="4">
        <f>IF(ISERROR(VLOOKUP($S$189,'TAR FIN'!$A$1:$O$88,15,0)),0,VLOOKUP($S$189,'TAR FIN'!$A$1:$O$88,15,0))</f>
        <v>0</v>
      </c>
      <c r="W189" s="4">
        <f>IF(ISERROR(VLOOKUP($T$189,'TAR FIN'!$A$1:$O$88,15,0)),0,VLOOKUP($T$189,'TAR FIN'!$A$1:$O$88,15,0))</f>
        <v>441.31</v>
      </c>
      <c r="X189" s="4">
        <f>IF(ISERROR(VLOOKUP($U$189,'TAR FIN'!$A$1:$O$88,15,0)),0,VLOOKUP($U$189,'TAR FIN'!$A$1:$O$88,15,0))</f>
        <v>132.22999999999999</v>
      </c>
      <c r="Y189" s="4"/>
      <c r="Z189" s="4">
        <f ca="1">('TUSD BE'!$AM$33+'TUSD BF'!$AM$33+'TUSD CVA'!$AM$33)*(1-CUSTOS!$M$38)</f>
        <v>554.80001091929842</v>
      </c>
      <c r="AA189" s="4">
        <f>('TE BE'!$AB$23+'TE BF'!$AB$23+'TE CVA'!$AB$23)*(1-CUSTOS!$M$38)</f>
        <v>128.42529768213717</v>
      </c>
      <c r="AB189" s="4">
        <f t="shared" si="8"/>
        <v>0</v>
      </c>
      <c r="AC189" s="4">
        <f>(L189-M189)*(W189+X189)+($W$64+$X$64-$W$189-$X$189)*(L189)</f>
        <v>16774.447400000005</v>
      </c>
      <c r="AD189" s="4">
        <f t="shared" si="9"/>
        <v>0</v>
      </c>
      <c r="AE189" s="4">
        <f ca="1">(L189-M189)*(Z189+AA189)+($Z$64+$AA$64-$Z$189-$AA$189)*(L189)</f>
        <v>9354.6773152447713</v>
      </c>
      <c r="AF189" s="3" t="s">
        <v>647</v>
      </c>
    </row>
    <row r="190" spans="1:32" ht="11.25" customHeight="1" x14ac:dyDescent="0.25">
      <c r="A190" s="3" t="s">
        <v>55</v>
      </c>
      <c r="B190" s="3" t="s">
        <v>43</v>
      </c>
      <c r="C190" s="3" t="s">
        <v>23</v>
      </c>
      <c r="D190" s="3" t="s">
        <v>44</v>
      </c>
      <c r="E190" s="3" t="s">
        <v>25</v>
      </c>
      <c r="F190" s="3" t="s">
        <v>25</v>
      </c>
      <c r="G190" s="3" t="s">
        <v>25</v>
      </c>
      <c r="H190" s="3" t="s">
        <v>25</v>
      </c>
      <c r="I190" s="6">
        <v>44774</v>
      </c>
      <c r="J190" s="4">
        <v>0</v>
      </c>
      <c r="K190" s="4">
        <v>0</v>
      </c>
      <c r="L190" s="4">
        <v>5.5209999999999999</v>
      </c>
      <c r="M190" s="4">
        <v>5.5209999999999999</v>
      </c>
      <c r="N190" s="4">
        <v>5.5209999999999999</v>
      </c>
      <c r="O190" s="4">
        <v>5.5209999999999999</v>
      </c>
      <c r="P190" s="4">
        <v>12</v>
      </c>
      <c r="Q190" s="3" t="s">
        <v>26</v>
      </c>
      <c r="R190" s="3">
        <v>0</v>
      </c>
      <c r="S190" s="3">
        <v>0</v>
      </c>
      <c r="T190" s="3">
        <v>55</v>
      </c>
      <c r="U190" s="3">
        <v>20</v>
      </c>
      <c r="V190" s="4">
        <f>IF(ISERROR(VLOOKUP($S$190,'TAR FIN'!$A$1:$O$88,15,0)),0,VLOOKUP($S$190,'TAR FIN'!$A$1:$O$88,15,0))</f>
        <v>0</v>
      </c>
      <c r="W190" s="4">
        <f>IF(ISERROR(VLOOKUP($T$190,'TAR FIN'!$A$1:$O$88,15,0)),0,VLOOKUP($T$190,'TAR FIN'!$A$1:$O$88,15,0))</f>
        <v>441.31</v>
      </c>
      <c r="X190" s="4">
        <f>IF(ISERROR(VLOOKUP($U$190,'TAR FIN'!$A$1:$O$88,15,0)),0,VLOOKUP($U$190,'TAR FIN'!$A$1:$O$88,15,0))</f>
        <v>132.22999999999999</v>
      </c>
      <c r="Y190" s="4"/>
      <c r="Z190" s="4">
        <f ca="1">('TUSD BE'!$AM$33+'TUSD BF'!$AM$33+'TUSD CVA'!$AM$33)*(1-CUSTOS!$M$38)</f>
        <v>554.80001091929842</v>
      </c>
      <c r="AA190" s="4">
        <f>('TE BE'!$AB$23+'TE BF'!$AB$23+'TE CVA'!$AB$23)*(1-CUSTOS!$M$38)</f>
        <v>128.42529768213717</v>
      </c>
      <c r="AB190" s="4">
        <f t="shared" si="8"/>
        <v>0</v>
      </c>
      <c r="AC190" s="4">
        <f>(L190-M190)*(W190+X190)+($W$64+$X$64-$W$190-$X$190)*(L190)</f>
        <v>431.74220000000008</v>
      </c>
      <c r="AD190" s="4">
        <f t="shared" si="9"/>
        <v>0</v>
      </c>
      <c r="AE190" s="4">
        <f ca="1">(L190-M190)*(Z190+AA190)+($Z$64+$AA$64-$Z$190-$AA$190)*(L190)</f>
        <v>240.77150609288452</v>
      </c>
      <c r="AF190" s="3" t="s">
        <v>647</v>
      </c>
    </row>
    <row r="191" spans="1:32" ht="11.25" customHeight="1" x14ac:dyDescent="0.25">
      <c r="A191" s="3" t="s">
        <v>21</v>
      </c>
      <c r="B191" s="3" t="s">
        <v>33</v>
      </c>
      <c r="C191" s="3" t="s">
        <v>23</v>
      </c>
      <c r="D191" s="3" t="s">
        <v>49</v>
      </c>
      <c r="E191" s="3" t="s">
        <v>50</v>
      </c>
      <c r="F191" s="3" t="s">
        <v>25</v>
      </c>
      <c r="G191" s="3" t="s">
        <v>25</v>
      </c>
      <c r="H191" s="3" t="s">
        <v>25</v>
      </c>
      <c r="I191" s="6">
        <v>44440</v>
      </c>
      <c r="J191" s="4">
        <v>0</v>
      </c>
      <c r="K191" s="58">
        <v>0</v>
      </c>
      <c r="L191" s="4">
        <v>17.172999999999998</v>
      </c>
      <c r="M191" s="58">
        <v>17.172999999999998</v>
      </c>
      <c r="N191" s="4">
        <v>17.172999999999998</v>
      </c>
      <c r="O191" s="58">
        <v>17.172999999999998</v>
      </c>
      <c r="P191" s="4">
        <v>33</v>
      </c>
      <c r="Q191" s="3" t="s">
        <v>26</v>
      </c>
      <c r="R191" s="3">
        <v>0</v>
      </c>
      <c r="S191" s="3">
        <v>0</v>
      </c>
      <c r="T191" s="3">
        <v>66</v>
      </c>
      <c r="U191" s="3">
        <v>10</v>
      </c>
      <c r="V191" s="58">
        <f>IF(ISERROR(VLOOKUP($S$191,'TAR FIN'!$A$1:$O$88,15,0)),0,VLOOKUP($S$191,'TAR FIN'!$A$1:$O$88,15,0))</f>
        <v>0</v>
      </c>
      <c r="W191" s="58">
        <f>IF(ISERROR(VLOOKUP($T$191,'TAR FIN'!$A$1:$O$88,15,0)),0,VLOOKUP($T$191,'TAR FIN'!$A$1:$O$88,15,0))*(1-0.06)</f>
        <v>471.39119999999997</v>
      </c>
      <c r="X191" s="58">
        <f>IF(ISERROR(VLOOKUP($U$191,'TAR FIN'!$A$1:$O$88,15,0)),0,VLOOKUP($U$191,'TAR FIN'!$A$1:$O$88,15,0))*(1-0.06)</f>
        <v>141.24439999999998</v>
      </c>
      <c r="Y191" s="58"/>
      <c r="Z191" s="58">
        <f ca="1">('TUSD BE'!$AM$48+'TUSD BF'!$AM$48+'TUSD CVA'!$AM$48)*1*(1-0.03)</f>
        <v>572.50639424651001</v>
      </c>
      <c r="AA191" s="58">
        <f>('TE BE'!$AB$38+'TE BF'!$AB$38+'TE CVA'!$AB$38)*1*(1-0.03)</f>
        <v>132.52397739539686</v>
      </c>
      <c r="AB191" s="58">
        <f>(SUBSIDIO!$J$191*SUBSIDIO!$V$191)*(0.06)/(1-0.06)</f>
        <v>0</v>
      </c>
      <c r="AC191" s="58">
        <f>((SUBSIDIO!$L$191*SUBSIDIO!$W$191)+(SUBSIDIO!$N$191*SUBSIDIO!$X$191))*(0.06)/(1-0.06)</f>
        <v>671.5398611999999</v>
      </c>
      <c r="AD191" s="58">
        <f>(SUBSIDIO!$J$191*SUBSIDIO!$Y$191)*(0.03)/(1-0.03)</f>
        <v>0</v>
      </c>
      <c r="AE191" s="58">
        <f ca="1">((SUBSIDIO!$L$191*SUBSIDIO!$Z$191)+(SUBSIDIO!$N$191*SUBSIDIO!$AA$191))*(0.03)/(1-0.03)</f>
        <v>374.45834759401441</v>
      </c>
      <c r="AF191" s="3" t="s">
        <v>648</v>
      </c>
    </row>
    <row r="192" spans="1:32" ht="11.25" customHeight="1" x14ac:dyDescent="0.25">
      <c r="A192" s="3" t="s">
        <v>21</v>
      </c>
      <c r="B192" s="3" t="s">
        <v>33</v>
      </c>
      <c r="C192" s="3" t="s">
        <v>23</v>
      </c>
      <c r="D192" s="3" t="s">
        <v>49</v>
      </c>
      <c r="E192" s="3" t="s">
        <v>50</v>
      </c>
      <c r="F192" s="3" t="s">
        <v>25</v>
      </c>
      <c r="G192" s="3" t="s">
        <v>25</v>
      </c>
      <c r="H192" s="3" t="s">
        <v>25</v>
      </c>
      <c r="I192" s="6">
        <v>44470</v>
      </c>
      <c r="J192" s="4">
        <v>0</v>
      </c>
      <c r="K192" s="58">
        <v>0</v>
      </c>
      <c r="L192" s="4">
        <v>16.812000000000001</v>
      </c>
      <c r="M192" s="58">
        <v>16.812000000000001</v>
      </c>
      <c r="N192" s="4">
        <v>16.812000000000001</v>
      </c>
      <c r="O192" s="58">
        <v>16.812000000000001</v>
      </c>
      <c r="P192" s="4">
        <v>33</v>
      </c>
      <c r="Q192" s="3" t="s">
        <v>26</v>
      </c>
      <c r="R192" s="3">
        <v>0</v>
      </c>
      <c r="S192" s="3">
        <v>0</v>
      </c>
      <c r="T192" s="3">
        <v>66</v>
      </c>
      <c r="U192" s="3">
        <v>10</v>
      </c>
      <c r="V192" s="58">
        <f>IF(ISERROR(VLOOKUP($S$192,'TAR FIN'!$A$1:$O$88,15,0)),0,VLOOKUP($S$192,'TAR FIN'!$A$1:$O$88,15,0))</f>
        <v>0</v>
      </c>
      <c r="W192" s="58">
        <f>IF(ISERROR(VLOOKUP($T$192,'TAR FIN'!$A$1:$O$88,15,0)),0,VLOOKUP($T$192,'TAR FIN'!$A$1:$O$88,15,0))*(1-0.06)</f>
        <v>471.39119999999997</v>
      </c>
      <c r="X192" s="58">
        <f>IF(ISERROR(VLOOKUP($U$192,'TAR FIN'!$A$1:$O$88,15,0)),0,VLOOKUP($U$192,'TAR FIN'!$A$1:$O$88,15,0))*(1-0.06)</f>
        <v>141.24439999999998</v>
      </c>
      <c r="Y192" s="58"/>
      <c r="Z192" s="58">
        <f ca="1">('TUSD BE'!$AM$48+'TUSD BF'!$AM$48+'TUSD CVA'!$AM$48)*1*(1-0.03)</f>
        <v>572.50639424651001</v>
      </c>
      <c r="AA192" s="58">
        <f>('TE BE'!$AB$38+'TE BF'!$AB$38+'TE CVA'!$AB$38)*1*(1-0.03)</f>
        <v>132.52397739539686</v>
      </c>
      <c r="AB192" s="58">
        <f>(SUBSIDIO!$J$192*SUBSIDIO!$V$192)*(0.06)/(1-0.06)</f>
        <v>0</v>
      </c>
      <c r="AC192" s="58">
        <f>((SUBSIDIO!$L$192*SUBSIDIO!$W$192)+(SUBSIDIO!$N$192*SUBSIDIO!$X$192))*(0.06)/(1-0.06)</f>
        <v>657.42317279999997</v>
      </c>
      <c r="AD192" s="58">
        <f>(SUBSIDIO!$J$192*SUBSIDIO!$Y$192)*(0.03)/(1-0.03)</f>
        <v>0</v>
      </c>
      <c r="AE192" s="58">
        <f ca="1">((SUBSIDIO!$L$192*SUBSIDIO!$Z$192)+(SUBSIDIO!$N$192*SUBSIDIO!$AA$192))*(0.03)/(1-0.03)</f>
        <v>366.58671983640431</v>
      </c>
      <c r="AF192" s="3" t="s">
        <v>648</v>
      </c>
    </row>
    <row r="193" spans="1:32" ht="11.25" customHeight="1" x14ac:dyDescent="0.25">
      <c r="A193" s="3" t="s">
        <v>21</v>
      </c>
      <c r="B193" s="3" t="s">
        <v>33</v>
      </c>
      <c r="C193" s="3" t="s">
        <v>23</v>
      </c>
      <c r="D193" s="3" t="s">
        <v>49</v>
      </c>
      <c r="E193" s="3" t="s">
        <v>50</v>
      </c>
      <c r="F193" s="3" t="s">
        <v>25</v>
      </c>
      <c r="G193" s="3" t="s">
        <v>25</v>
      </c>
      <c r="H193" s="3" t="s">
        <v>25</v>
      </c>
      <c r="I193" s="6">
        <v>44501</v>
      </c>
      <c r="J193" s="4">
        <v>0</v>
      </c>
      <c r="K193" s="58">
        <v>0</v>
      </c>
      <c r="L193" s="4">
        <v>18.056999999999999</v>
      </c>
      <c r="M193" s="58">
        <v>18.056999999999999</v>
      </c>
      <c r="N193" s="4">
        <v>18.056999999999999</v>
      </c>
      <c r="O193" s="58">
        <v>18.056999999999999</v>
      </c>
      <c r="P193" s="4">
        <v>33</v>
      </c>
      <c r="Q193" s="3" t="s">
        <v>26</v>
      </c>
      <c r="R193" s="3">
        <v>0</v>
      </c>
      <c r="S193" s="3">
        <v>0</v>
      </c>
      <c r="T193" s="3">
        <v>66</v>
      </c>
      <c r="U193" s="3">
        <v>10</v>
      </c>
      <c r="V193" s="58">
        <f>IF(ISERROR(VLOOKUP($S$193,'TAR FIN'!$A$1:$O$88,15,0)),0,VLOOKUP($S$193,'TAR FIN'!$A$1:$O$88,15,0))</f>
        <v>0</v>
      </c>
      <c r="W193" s="58">
        <f>IF(ISERROR(VLOOKUP($T$193,'TAR FIN'!$A$1:$O$88,15,0)),0,VLOOKUP($T$193,'TAR FIN'!$A$1:$O$88,15,0))*(1-0.06)</f>
        <v>471.39119999999997</v>
      </c>
      <c r="X193" s="58">
        <f>IF(ISERROR(VLOOKUP($U$193,'TAR FIN'!$A$1:$O$88,15,0)),0,VLOOKUP($U$193,'TAR FIN'!$A$1:$O$88,15,0))*(1-0.06)</f>
        <v>141.24439999999998</v>
      </c>
      <c r="Y193" s="58"/>
      <c r="Z193" s="58">
        <f ca="1">('TUSD BE'!$AM$48+'TUSD BF'!$AM$48+'TUSD CVA'!$AM$48)*1*(1-0.03)</f>
        <v>572.50639424651001</v>
      </c>
      <c r="AA193" s="58">
        <f>('TE BE'!$AB$38+'TE BF'!$AB$38+'TE CVA'!$AB$38)*1*(1-0.03)</f>
        <v>132.52397739539686</v>
      </c>
      <c r="AB193" s="58">
        <f>(SUBSIDIO!$J$193*SUBSIDIO!$V$193)*(0.06)/(1-0.06)</f>
        <v>0</v>
      </c>
      <c r="AC193" s="58">
        <f>((SUBSIDIO!$L$193*SUBSIDIO!$W$193)+(SUBSIDIO!$N$193*SUBSIDIO!$X$193))*(0.06)/(1-0.06)</f>
        <v>706.10815079999998</v>
      </c>
      <c r="AD193" s="58">
        <f>(SUBSIDIO!$J$193*SUBSIDIO!$Y$193)*(0.03)/(1-0.03)</f>
        <v>0</v>
      </c>
      <c r="AE193" s="58">
        <f ca="1">((SUBSIDIO!$L$193*SUBSIDIO!$Z$193)+(SUBSIDIO!$N$193*SUBSIDIO!$AA$193))*(0.03)/(1-0.03)</f>
        <v>393.73402332179097</v>
      </c>
      <c r="AF193" s="3" t="s">
        <v>648</v>
      </c>
    </row>
    <row r="194" spans="1:32" ht="11.25" customHeight="1" x14ac:dyDescent="0.25">
      <c r="A194" s="3" t="s">
        <v>21</v>
      </c>
      <c r="B194" s="3" t="s">
        <v>33</v>
      </c>
      <c r="C194" s="3" t="s">
        <v>23</v>
      </c>
      <c r="D194" s="3" t="s">
        <v>49</v>
      </c>
      <c r="E194" s="3" t="s">
        <v>50</v>
      </c>
      <c r="F194" s="3" t="s">
        <v>25</v>
      </c>
      <c r="G194" s="3" t="s">
        <v>25</v>
      </c>
      <c r="H194" s="3" t="s">
        <v>25</v>
      </c>
      <c r="I194" s="6">
        <v>44531</v>
      </c>
      <c r="J194" s="4">
        <v>0</v>
      </c>
      <c r="K194" s="58">
        <v>0</v>
      </c>
      <c r="L194" s="4">
        <v>18.302</v>
      </c>
      <c r="M194" s="58">
        <v>18.302</v>
      </c>
      <c r="N194" s="4">
        <v>18.302</v>
      </c>
      <c r="O194" s="58">
        <v>18.302</v>
      </c>
      <c r="P194" s="4">
        <v>35</v>
      </c>
      <c r="Q194" s="3" t="s">
        <v>26</v>
      </c>
      <c r="R194" s="3">
        <v>0</v>
      </c>
      <c r="S194" s="3">
        <v>0</v>
      </c>
      <c r="T194" s="3">
        <v>66</v>
      </c>
      <c r="U194" s="3">
        <v>10</v>
      </c>
      <c r="V194" s="58">
        <f>IF(ISERROR(VLOOKUP($S$194,'TAR FIN'!$A$1:$O$88,15,0)),0,VLOOKUP($S$194,'TAR FIN'!$A$1:$O$88,15,0))</f>
        <v>0</v>
      </c>
      <c r="W194" s="58">
        <f>IF(ISERROR(VLOOKUP($T$194,'TAR FIN'!$A$1:$O$88,15,0)),0,VLOOKUP($T$194,'TAR FIN'!$A$1:$O$88,15,0))*(1-0.06)</f>
        <v>471.39119999999997</v>
      </c>
      <c r="X194" s="58">
        <f>IF(ISERROR(VLOOKUP($U$194,'TAR FIN'!$A$1:$O$88,15,0)),0,VLOOKUP($U$194,'TAR FIN'!$A$1:$O$88,15,0))*(1-0.06)</f>
        <v>141.24439999999998</v>
      </c>
      <c r="Y194" s="58"/>
      <c r="Z194" s="58">
        <f ca="1">('TUSD BE'!$AM$48+'TUSD BF'!$AM$48+'TUSD CVA'!$AM$48)*1*(1-0.03)</f>
        <v>572.50639424651001</v>
      </c>
      <c r="AA194" s="58">
        <f>('TE BE'!$AB$38+'TE BF'!$AB$38+'TE CVA'!$AB$38)*1*(1-0.03)</f>
        <v>132.52397739539686</v>
      </c>
      <c r="AB194" s="58">
        <f>(SUBSIDIO!$J$194*SUBSIDIO!$V$194)*(0.06)/(1-0.06)</f>
        <v>0</v>
      </c>
      <c r="AC194" s="58">
        <f>((SUBSIDIO!$L$194*SUBSIDIO!$W$194)+(SUBSIDIO!$N$194*SUBSIDIO!$X$194))*(0.06)/(1-0.06)</f>
        <v>715.68872880000004</v>
      </c>
      <c r="AD194" s="58">
        <f>(SUBSIDIO!$J$194*SUBSIDIO!$Y$194)*(0.03)/(1-0.03)</f>
        <v>0</v>
      </c>
      <c r="AE194" s="58">
        <f ca="1">((SUBSIDIO!$L$194*SUBSIDIO!$Z$194)+(SUBSIDIO!$N$194*SUBSIDIO!$AA$194))*(0.03)/(1-0.03)</f>
        <v>399.07626376670652</v>
      </c>
      <c r="AF194" s="3" t="s">
        <v>648</v>
      </c>
    </row>
    <row r="195" spans="1:32" ht="11.25" customHeight="1" x14ac:dyDescent="0.25">
      <c r="A195" s="3" t="s">
        <v>21</v>
      </c>
      <c r="B195" s="3" t="s">
        <v>33</v>
      </c>
      <c r="C195" s="3" t="s">
        <v>23</v>
      </c>
      <c r="D195" s="3" t="s">
        <v>49</v>
      </c>
      <c r="E195" s="3" t="s">
        <v>50</v>
      </c>
      <c r="F195" s="3" t="s">
        <v>25</v>
      </c>
      <c r="G195" s="3" t="s">
        <v>25</v>
      </c>
      <c r="H195" s="3" t="s">
        <v>25</v>
      </c>
      <c r="I195" s="6">
        <v>44562</v>
      </c>
      <c r="J195" s="4">
        <v>0</v>
      </c>
      <c r="K195" s="58">
        <v>0</v>
      </c>
      <c r="L195" s="4">
        <v>21.271999999999998</v>
      </c>
      <c r="M195" s="58">
        <v>21.271999999999998</v>
      </c>
      <c r="N195" s="4">
        <v>21.271999999999998</v>
      </c>
      <c r="O195" s="58">
        <v>21.271999999999998</v>
      </c>
      <c r="P195" s="4">
        <v>35</v>
      </c>
      <c r="Q195" s="3" t="s">
        <v>26</v>
      </c>
      <c r="R195" s="3">
        <v>0</v>
      </c>
      <c r="S195" s="3">
        <v>0</v>
      </c>
      <c r="T195" s="3">
        <v>66</v>
      </c>
      <c r="U195" s="3">
        <v>10</v>
      </c>
      <c r="V195" s="58">
        <f>IF(ISERROR(VLOOKUP($S$195,'TAR FIN'!$A$1:$O$88,15,0)),0,VLOOKUP($S$195,'TAR FIN'!$A$1:$O$88,15,0))</f>
        <v>0</v>
      </c>
      <c r="W195" s="58">
        <f>IF(ISERROR(VLOOKUP($T$195,'TAR FIN'!$A$1:$O$88,15,0)),0,VLOOKUP($T$195,'TAR FIN'!$A$1:$O$88,15,0))*(1-0.06)</f>
        <v>471.39119999999997</v>
      </c>
      <c r="X195" s="58">
        <f>IF(ISERROR(VLOOKUP($U$195,'TAR FIN'!$A$1:$O$88,15,0)),0,VLOOKUP($U$195,'TAR FIN'!$A$1:$O$88,15,0))*(1-0.06)</f>
        <v>141.24439999999998</v>
      </c>
      <c r="Y195" s="58"/>
      <c r="Z195" s="58">
        <f ca="1">('TUSD BE'!$AM$48+'TUSD BF'!$AM$48+'TUSD CVA'!$AM$48)*1*(1-0.03)</f>
        <v>572.50639424651001</v>
      </c>
      <c r="AA195" s="58">
        <f>('TE BE'!$AB$38+'TE BF'!$AB$38+'TE CVA'!$AB$38)*1*(1-0.03)</f>
        <v>132.52397739539686</v>
      </c>
      <c r="AB195" s="58">
        <f>(SUBSIDIO!$J$195*SUBSIDIO!$V$195)*(0.06)/(1-0.06)</f>
        <v>0</v>
      </c>
      <c r="AC195" s="58">
        <f>((SUBSIDIO!$L$195*SUBSIDIO!$W$195)+(SUBSIDIO!$N$195*SUBSIDIO!$X$195))*(0.06)/(1-0.06)</f>
        <v>831.82879679999996</v>
      </c>
      <c r="AD195" s="58">
        <f>(SUBSIDIO!$J$195*SUBSIDIO!$Y$195)*(0.03)/(1-0.03)</f>
        <v>0</v>
      </c>
      <c r="AE195" s="58">
        <f ca="1">((SUBSIDIO!$L$195*SUBSIDIO!$Z$195)+(SUBSIDIO!$N$195*SUBSIDIO!$AA$195))*(0.03)/(1-0.03)</f>
        <v>463.83730099690644</v>
      </c>
      <c r="AF195" s="3" t="s">
        <v>648</v>
      </c>
    </row>
    <row r="196" spans="1:32" ht="11.25" customHeight="1" x14ac:dyDescent="0.25">
      <c r="A196" s="3" t="s">
        <v>21</v>
      </c>
      <c r="B196" s="3" t="s">
        <v>33</v>
      </c>
      <c r="C196" s="3" t="s">
        <v>23</v>
      </c>
      <c r="D196" s="3" t="s">
        <v>49</v>
      </c>
      <c r="E196" s="3" t="s">
        <v>50</v>
      </c>
      <c r="F196" s="3" t="s">
        <v>25</v>
      </c>
      <c r="G196" s="3" t="s">
        <v>25</v>
      </c>
      <c r="H196" s="3" t="s">
        <v>25</v>
      </c>
      <c r="I196" s="6">
        <v>44593</v>
      </c>
      <c r="J196" s="4">
        <v>0</v>
      </c>
      <c r="K196" s="58">
        <v>0</v>
      </c>
      <c r="L196" s="4">
        <v>24.638999999999999</v>
      </c>
      <c r="M196" s="58">
        <v>24.638999999999999</v>
      </c>
      <c r="N196" s="4">
        <v>24.638999999999999</v>
      </c>
      <c r="O196" s="58">
        <v>24.638999999999999</v>
      </c>
      <c r="P196" s="4">
        <v>35</v>
      </c>
      <c r="Q196" s="3" t="s">
        <v>26</v>
      </c>
      <c r="R196" s="3">
        <v>0</v>
      </c>
      <c r="S196" s="3">
        <v>0</v>
      </c>
      <c r="T196" s="3">
        <v>66</v>
      </c>
      <c r="U196" s="3">
        <v>10</v>
      </c>
      <c r="V196" s="58">
        <f>IF(ISERROR(VLOOKUP($S$196,'TAR FIN'!$A$1:$O$88,15,0)),0,VLOOKUP($S$196,'TAR FIN'!$A$1:$O$88,15,0))</f>
        <v>0</v>
      </c>
      <c r="W196" s="58">
        <f>IF(ISERROR(VLOOKUP($T$196,'TAR FIN'!$A$1:$O$88,15,0)),0,VLOOKUP($T$196,'TAR FIN'!$A$1:$O$88,15,0))*(1-0.06)</f>
        <v>471.39119999999997</v>
      </c>
      <c r="X196" s="58">
        <f>IF(ISERROR(VLOOKUP($U$196,'TAR FIN'!$A$1:$O$88,15,0)),0,VLOOKUP($U$196,'TAR FIN'!$A$1:$O$88,15,0))*(1-0.06)</f>
        <v>141.24439999999998</v>
      </c>
      <c r="Y196" s="58"/>
      <c r="Z196" s="58">
        <f ca="1">('TUSD BE'!$AM$48+'TUSD BF'!$AM$48+'TUSD CVA'!$AM$48)*1*(1-0.03)</f>
        <v>572.50639424651001</v>
      </c>
      <c r="AA196" s="58">
        <f>('TE BE'!$AB$38+'TE BF'!$AB$38+'TE CVA'!$AB$38)*1*(1-0.03)</f>
        <v>132.52397739539686</v>
      </c>
      <c r="AB196" s="58">
        <f>(SUBSIDIO!$J$196*SUBSIDIO!$V$196)*(0.06)/(1-0.06)</f>
        <v>0</v>
      </c>
      <c r="AC196" s="58">
        <f>((SUBSIDIO!$L$196*SUBSIDIO!$W$196)+(SUBSIDIO!$N$196*SUBSIDIO!$X$196))*(0.06)/(1-0.06)</f>
        <v>963.49331159999997</v>
      </c>
      <c r="AD196" s="58">
        <f>(SUBSIDIO!$J$196*SUBSIDIO!$Y$196)*(0.03)/(1-0.03)</f>
        <v>0</v>
      </c>
      <c r="AE196" s="58">
        <f ca="1">((SUBSIDIO!$L$196*SUBSIDIO!$Z$196)+(SUBSIDIO!$N$196*SUBSIDIO!$AA$196))*(0.03)/(1-0.03)</f>
        <v>537.25494825417343</v>
      </c>
      <c r="AF196" s="3" t="s">
        <v>648</v>
      </c>
    </row>
    <row r="197" spans="1:32" ht="11.25" customHeight="1" x14ac:dyDescent="0.25">
      <c r="A197" s="3" t="s">
        <v>21</v>
      </c>
      <c r="B197" s="3" t="s">
        <v>33</v>
      </c>
      <c r="C197" s="3" t="s">
        <v>23</v>
      </c>
      <c r="D197" s="3" t="s">
        <v>49</v>
      </c>
      <c r="E197" s="3" t="s">
        <v>50</v>
      </c>
      <c r="F197" s="3" t="s">
        <v>25</v>
      </c>
      <c r="G197" s="3" t="s">
        <v>25</v>
      </c>
      <c r="H197" s="3" t="s">
        <v>25</v>
      </c>
      <c r="I197" s="6">
        <v>44621</v>
      </c>
      <c r="J197" s="4">
        <v>0</v>
      </c>
      <c r="K197" s="58">
        <v>0</v>
      </c>
      <c r="L197" s="4">
        <v>22.068000000000001</v>
      </c>
      <c r="M197" s="58">
        <v>22.068000000000001</v>
      </c>
      <c r="N197" s="4">
        <v>22.068000000000001</v>
      </c>
      <c r="O197" s="58">
        <v>22.068000000000001</v>
      </c>
      <c r="P197" s="4">
        <v>35</v>
      </c>
      <c r="Q197" s="3" t="s">
        <v>26</v>
      </c>
      <c r="R197" s="3">
        <v>0</v>
      </c>
      <c r="S197" s="3">
        <v>0</v>
      </c>
      <c r="T197" s="3">
        <v>66</v>
      </c>
      <c r="U197" s="3">
        <v>10</v>
      </c>
      <c r="V197" s="58">
        <f>IF(ISERROR(VLOOKUP($S$197,'TAR FIN'!$A$1:$O$88,15,0)),0,VLOOKUP($S$197,'TAR FIN'!$A$1:$O$88,15,0))</f>
        <v>0</v>
      </c>
      <c r="W197" s="58">
        <f>IF(ISERROR(VLOOKUP($T$197,'TAR FIN'!$A$1:$O$88,15,0)),0,VLOOKUP($T$197,'TAR FIN'!$A$1:$O$88,15,0))*(1-0.06)</f>
        <v>471.39119999999997</v>
      </c>
      <c r="X197" s="58">
        <f>IF(ISERROR(VLOOKUP($U$197,'TAR FIN'!$A$1:$O$88,15,0)),0,VLOOKUP($U$197,'TAR FIN'!$A$1:$O$88,15,0))*(1-0.06)</f>
        <v>141.24439999999998</v>
      </c>
      <c r="Y197" s="58"/>
      <c r="Z197" s="58">
        <f ca="1">('TUSD BE'!$AM$48+'TUSD BF'!$AM$48+'TUSD CVA'!$AM$48)*1*(1-0.03)</f>
        <v>572.50639424651001</v>
      </c>
      <c r="AA197" s="58">
        <f>('TE BE'!$AB$38+'TE BF'!$AB$38+'TE CVA'!$AB$38)*1*(1-0.03)</f>
        <v>132.52397739539686</v>
      </c>
      <c r="AB197" s="58">
        <f>(SUBSIDIO!$J$197*SUBSIDIO!$V$197)*(0.06)/(1-0.06)</f>
        <v>0</v>
      </c>
      <c r="AC197" s="58">
        <f>((SUBSIDIO!$L$197*SUBSIDIO!$W$197)+(SUBSIDIO!$N$197*SUBSIDIO!$X$197))*(0.06)/(1-0.06)</f>
        <v>862.95589919999986</v>
      </c>
      <c r="AD197" s="58">
        <f>(SUBSIDIO!$J$197*SUBSIDIO!$Y$197)*(0.03)/(1-0.03)</f>
        <v>0</v>
      </c>
      <c r="AE197" s="58">
        <f ca="1">((SUBSIDIO!$L$197*SUBSIDIO!$Z$197)+(SUBSIDIO!$N$197*SUBSIDIO!$AA$197))*(0.03)/(1-0.03)</f>
        <v>481.19413117712162</v>
      </c>
      <c r="AF197" s="3" t="s">
        <v>648</v>
      </c>
    </row>
    <row r="198" spans="1:32" ht="11.25" customHeight="1" x14ac:dyDescent="0.25">
      <c r="A198" s="3" t="s">
        <v>21</v>
      </c>
      <c r="B198" s="3" t="s">
        <v>33</v>
      </c>
      <c r="C198" s="3" t="s">
        <v>23</v>
      </c>
      <c r="D198" s="3" t="s">
        <v>49</v>
      </c>
      <c r="E198" s="3" t="s">
        <v>50</v>
      </c>
      <c r="F198" s="3" t="s">
        <v>25</v>
      </c>
      <c r="G198" s="3" t="s">
        <v>25</v>
      </c>
      <c r="H198" s="3" t="s">
        <v>25</v>
      </c>
      <c r="I198" s="6">
        <v>44652</v>
      </c>
      <c r="J198" s="4">
        <v>0</v>
      </c>
      <c r="K198" s="58">
        <v>0</v>
      </c>
      <c r="L198" s="4">
        <v>20.841000000000001</v>
      </c>
      <c r="M198" s="58">
        <v>20.841000000000001</v>
      </c>
      <c r="N198" s="4">
        <v>20.841000000000001</v>
      </c>
      <c r="O198" s="58">
        <v>20.841000000000001</v>
      </c>
      <c r="P198" s="4">
        <v>35</v>
      </c>
      <c r="Q198" s="3" t="s">
        <v>26</v>
      </c>
      <c r="R198" s="3">
        <v>0</v>
      </c>
      <c r="S198" s="3">
        <v>0</v>
      </c>
      <c r="T198" s="3">
        <v>66</v>
      </c>
      <c r="U198" s="3">
        <v>10</v>
      </c>
      <c r="V198" s="58">
        <f>IF(ISERROR(VLOOKUP($S$198,'TAR FIN'!$A$1:$O$88,15,0)),0,VLOOKUP($S$198,'TAR FIN'!$A$1:$O$88,15,0))</f>
        <v>0</v>
      </c>
      <c r="W198" s="58">
        <f>IF(ISERROR(VLOOKUP($T$198,'TAR FIN'!$A$1:$O$88,15,0)),0,VLOOKUP($T$198,'TAR FIN'!$A$1:$O$88,15,0))*(1-0.06)</f>
        <v>471.39119999999997</v>
      </c>
      <c r="X198" s="58">
        <f>IF(ISERROR(VLOOKUP($U$198,'TAR FIN'!$A$1:$O$88,15,0)),0,VLOOKUP($U$198,'TAR FIN'!$A$1:$O$88,15,0))*(1-0.06)</f>
        <v>141.24439999999998</v>
      </c>
      <c r="Y198" s="58"/>
      <c r="Z198" s="58">
        <f ca="1">('TUSD BE'!$AM$48+'TUSD BF'!$AM$48+'TUSD CVA'!$AM$48)*1*(1-0.03)</f>
        <v>572.50639424651001</v>
      </c>
      <c r="AA198" s="58">
        <f>('TE BE'!$AB$38+'TE BF'!$AB$38+'TE CVA'!$AB$38)*1*(1-0.03)</f>
        <v>132.52397739539686</v>
      </c>
      <c r="AB198" s="58">
        <f>(SUBSIDIO!$J$198*SUBSIDIO!$V$198)*(0.06)/(1-0.06)</f>
        <v>0</v>
      </c>
      <c r="AC198" s="58">
        <f>((SUBSIDIO!$L$198*SUBSIDIO!$W$198)+(SUBSIDIO!$N$198*SUBSIDIO!$X$198))*(0.06)/(1-0.06)</f>
        <v>814.97480039999994</v>
      </c>
      <c r="AD198" s="58">
        <f>(SUBSIDIO!$J$198*SUBSIDIO!$Y$198)*(0.03)/(1-0.03)</f>
        <v>0</v>
      </c>
      <c r="AE198" s="58">
        <f ca="1">((SUBSIDIO!$L$198*SUBSIDIO!$Z$198)+(SUBSIDIO!$N$198*SUBSIDIO!$AA$198))*(0.03)/(1-0.03)</f>
        <v>454.43931882646336</v>
      </c>
      <c r="AF198" s="3" t="s">
        <v>648</v>
      </c>
    </row>
    <row r="199" spans="1:32" ht="11.25" customHeight="1" x14ac:dyDescent="0.25">
      <c r="A199" s="3" t="s">
        <v>21</v>
      </c>
      <c r="B199" s="3" t="s">
        <v>33</v>
      </c>
      <c r="C199" s="3" t="s">
        <v>23</v>
      </c>
      <c r="D199" s="3" t="s">
        <v>49</v>
      </c>
      <c r="E199" s="3" t="s">
        <v>50</v>
      </c>
      <c r="F199" s="3" t="s">
        <v>25</v>
      </c>
      <c r="G199" s="3" t="s">
        <v>25</v>
      </c>
      <c r="H199" s="3" t="s">
        <v>25</v>
      </c>
      <c r="I199" s="6">
        <v>44682</v>
      </c>
      <c r="J199" s="4">
        <v>0</v>
      </c>
      <c r="K199" s="58">
        <v>0</v>
      </c>
      <c r="L199" s="4">
        <v>19.794</v>
      </c>
      <c r="M199" s="58">
        <v>19.794</v>
      </c>
      <c r="N199" s="4">
        <v>19.794</v>
      </c>
      <c r="O199" s="58">
        <v>19.794</v>
      </c>
      <c r="P199" s="4">
        <v>35</v>
      </c>
      <c r="Q199" s="3" t="s">
        <v>26</v>
      </c>
      <c r="R199" s="3">
        <v>0</v>
      </c>
      <c r="S199" s="3">
        <v>0</v>
      </c>
      <c r="T199" s="3">
        <v>66</v>
      </c>
      <c r="U199" s="3">
        <v>10</v>
      </c>
      <c r="V199" s="58">
        <f>IF(ISERROR(VLOOKUP($S$199,'TAR FIN'!$A$1:$O$88,15,0)),0,VLOOKUP($S$199,'TAR FIN'!$A$1:$O$88,15,0))</f>
        <v>0</v>
      </c>
      <c r="W199" s="58">
        <f>IF(ISERROR(VLOOKUP($T$199,'TAR FIN'!$A$1:$O$88,15,0)),0,VLOOKUP($T$199,'TAR FIN'!$A$1:$O$88,15,0))*(1-0.06)</f>
        <v>471.39119999999997</v>
      </c>
      <c r="X199" s="58">
        <f>IF(ISERROR(VLOOKUP($U$199,'TAR FIN'!$A$1:$O$88,15,0)),0,VLOOKUP($U$199,'TAR FIN'!$A$1:$O$88,15,0))*(1-0.06)</f>
        <v>141.24439999999998</v>
      </c>
      <c r="Y199" s="58"/>
      <c r="Z199" s="58">
        <f ca="1">('TUSD BE'!$AM$48+'TUSD BF'!$AM$48+'TUSD CVA'!$AM$48)*1*(1-0.03)</f>
        <v>572.50639424651001</v>
      </c>
      <c r="AA199" s="58">
        <f>('TE BE'!$AB$38+'TE BF'!$AB$38+'TE CVA'!$AB$38)*1*(1-0.03)</f>
        <v>132.52397739539686</v>
      </c>
      <c r="AB199" s="58">
        <f>(SUBSIDIO!$J$199*SUBSIDIO!$V$199)*(0.06)/(1-0.06)</f>
        <v>0</v>
      </c>
      <c r="AC199" s="58">
        <f>((SUBSIDIO!$L$199*SUBSIDIO!$W$199)+(SUBSIDIO!$N$199*SUBSIDIO!$X$199))*(0.06)/(1-0.06)</f>
        <v>774.03249359999984</v>
      </c>
      <c r="AD199" s="58">
        <f>(SUBSIDIO!$J$199*SUBSIDIO!$Y$199)*(0.03)/(1-0.03)</f>
        <v>0</v>
      </c>
      <c r="AE199" s="58">
        <f ca="1">((SUBSIDIO!$L$199*SUBSIDIO!$Z$199)+(SUBSIDIO!$N$199*SUBSIDIO!$AA$199))*(0.03)/(1-0.03)</f>
        <v>431.60941782308981</v>
      </c>
      <c r="AF199" s="3" t="s">
        <v>648</v>
      </c>
    </row>
    <row r="200" spans="1:32" ht="11.25" customHeight="1" x14ac:dyDescent="0.25">
      <c r="A200" s="3" t="s">
        <v>21</v>
      </c>
      <c r="B200" s="3" t="s">
        <v>33</v>
      </c>
      <c r="C200" s="3" t="s">
        <v>23</v>
      </c>
      <c r="D200" s="3" t="s">
        <v>49</v>
      </c>
      <c r="E200" s="3" t="s">
        <v>50</v>
      </c>
      <c r="F200" s="3" t="s">
        <v>25</v>
      </c>
      <c r="G200" s="3" t="s">
        <v>25</v>
      </c>
      <c r="H200" s="3" t="s">
        <v>25</v>
      </c>
      <c r="I200" s="6">
        <v>44713</v>
      </c>
      <c r="J200" s="4">
        <v>0</v>
      </c>
      <c r="K200" s="58">
        <v>0</v>
      </c>
      <c r="L200" s="4">
        <v>21.469000000000001</v>
      </c>
      <c r="M200" s="58">
        <v>21.469000000000001</v>
      </c>
      <c r="N200" s="4">
        <v>21.469000000000001</v>
      </c>
      <c r="O200" s="58">
        <v>21.469000000000001</v>
      </c>
      <c r="P200" s="4">
        <v>35</v>
      </c>
      <c r="Q200" s="3" t="s">
        <v>26</v>
      </c>
      <c r="R200" s="3">
        <v>0</v>
      </c>
      <c r="S200" s="3">
        <v>0</v>
      </c>
      <c r="T200" s="3">
        <v>66</v>
      </c>
      <c r="U200" s="3">
        <v>10</v>
      </c>
      <c r="V200" s="58">
        <f>IF(ISERROR(VLOOKUP($S$200,'TAR FIN'!$A$1:$O$88,15,0)),0,VLOOKUP($S$200,'TAR FIN'!$A$1:$O$88,15,0))</f>
        <v>0</v>
      </c>
      <c r="W200" s="58">
        <f>IF(ISERROR(VLOOKUP($T$200,'TAR FIN'!$A$1:$O$88,15,0)),0,VLOOKUP($T$200,'TAR FIN'!$A$1:$O$88,15,0))*(1-0.06)</f>
        <v>471.39119999999997</v>
      </c>
      <c r="X200" s="58">
        <f>IF(ISERROR(VLOOKUP($U$200,'TAR FIN'!$A$1:$O$88,15,0)),0,VLOOKUP($U$200,'TAR FIN'!$A$1:$O$88,15,0))*(1-0.06)</f>
        <v>141.24439999999998</v>
      </c>
      <c r="Y200" s="58"/>
      <c r="Z200" s="58">
        <f ca="1">('TUSD BE'!$AM$48+'TUSD BF'!$AM$48+'TUSD CVA'!$AM$48)*1*(1-0.03)</f>
        <v>572.50639424651001</v>
      </c>
      <c r="AA200" s="58">
        <f>('TE BE'!$AB$38+'TE BF'!$AB$38+'TE CVA'!$AB$38)*1*(1-0.03)</f>
        <v>132.52397739539686</v>
      </c>
      <c r="AB200" s="58">
        <f>(SUBSIDIO!$J$200*SUBSIDIO!$V$200)*(0.06)/(1-0.06)</f>
        <v>0</v>
      </c>
      <c r="AC200" s="58">
        <f>((SUBSIDIO!$L$200*SUBSIDIO!$W$200)+(SUBSIDIO!$N$200*SUBSIDIO!$X$200))*(0.06)/(1-0.06)</f>
        <v>839.53236359999994</v>
      </c>
      <c r="AD200" s="58">
        <f>(SUBSIDIO!$J$200*SUBSIDIO!$Y$200)*(0.03)/(1-0.03)</f>
        <v>0</v>
      </c>
      <c r="AE200" s="58">
        <f ca="1">((SUBSIDIO!$L$200*SUBSIDIO!$Z$200)+(SUBSIDIO!$N$200*SUBSIDIO!$AA$200))*(0.03)/(1-0.03)</f>
        <v>468.13289841587937</v>
      </c>
      <c r="AF200" s="3" t="s">
        <v>648</v>
      </c>
    </row>
    <row r="201" spans="1:32" ht="11.25" customHeight="1" x14ac:dyDescent="0.25">
      <c r="A201" s="3" t="s">
        <v>21</v>
      </c>
      <c r="B201" s="3" t="s">
        <v>33</v>
      </c>
      <c r="C201" s="3" t="s">
        <v>23</v>
      </c>
      <c r="D201" s="3" t="s">
        <v>49</v>
      </c>
      <c r="E201" s="3" t="s">
        <v>50</v>
      </c>
      <c r="F201" s="3" t="s">
        <v>25</v>
      </c>
      <c r="G201" s="3" t="s">
        <v>25</v>
      </c>
      <c r="H201" s="3" t="s">
        <v>25</v>
      </c>
      <c r="I201" s="6">
        <v>44743</v>
      </c>
      <c r="J201" s="4">
        <v>0</v>
      </c>
      <c r="K201" s="58">
        <v>0</v>
      </c>
      <c r="L201" s="4">
        <v>20.888000000000002</v>
      </c>
      <c r="M201" s="58">
        <v>20.888000000000002</v>
      </c>
      <c r="N201" s="4">
        <v>20.888000000000002</v>
      </c>
      <c r="O201" s="58">
        <v>20.888000000000002</v>
      </c>
      <c r="P201" s="4">
        <v>35</v>
      </c>
      <c r="Q201" s="3" t="s">
        <v>26</v>
      </c>
      <c r="R201" s="3">
        <v>0</v>
      </c>
      <c r="S201" s="3">
        <v>0</v>
      </c>
      <c r="T201" s="3">
        <v>66</v>
      </c>
      <c r="U201" s="3">
        <v>10</v>
      </c>
      <c r="V201" s="58">
        <f>IF(ISERROR(VLOOKUP($S$201,'TAR FIN'!$A$1:$O$88,15,0)),0,VLOOKUP($S$201,'TAR FIN'!$A$1:$O$88,15,0))</f>
        <v>0</v>
      </c>
      <c r="W201" s="58">
        <f>IF(ISERROR(VLOOKUP($T$201,'TAR FIN'!$A$1:$O$88,15,0)),0,VLOOKUP($T$201,'TAR FIN'!$A$1:$O$88,15,0))*(1-0.06)</f>
        <v>471.39119999999997</v>
      </c>
      <c r="X201" s="58">
        <f>IF(ISERROR(VLOOKUP($U$201,'TAR FIN'!$A$1:$O$88,15,0)),0,VLOOKUP($U$201,'TAR FIN'!$A$1:$O$88,15,0))*(1-0.06)</f>
        <v>141.24439999999998</v>
      </c>
      <c r="Y201" s="58"/>
      <c r="Z201" s="58">
        <f ca="1">('TUSD BE'!$AM$48+'TUSD BF'!$AM$48+'TUSD CVA'!$AM$48)*1*(1-0.03)</f>
        <v>572.50639424651001</v>
      </c>
      <c r="AA201" s="58">
        <f>('TE BE'!$AB$38+'TE BF'!$AB$38+'TE CVA'!$AB$38)*1*(1-0.03)</f>
        <v>132.52397739539686</v>
      </c>
      <c r="AB201" s="58">
        <f>(SUBSIDIO!$J$201*SUBSIDIO!$V$201)*(0.06)/(1-0.06)</f>
        <v>0</v>
      </c>
      <c r="AC201" s="58">
        <f>((SUBSIDIO!$L$201*SUBSIDIO!$W$201)+(SUBSIDIO!$N$201*SUBSIDIO!$X$201))*(0.06)/(1-0.06)</f>
        <v>816.81270719999998</v>
      </c>
      <c r="AD201" s="58">
        <f>(SUBSIDIO!$J$201*SUBSIDIO!$Y$201)*(0.03)/(1-0.03)</f>
        <v>0</v>
      </c>
      <c r="AE201" s="58">
        <f ca="1">((SUBSIDIO!$L$201*SUBSIDIO!$Z$201)+(SUBSIDIO!$N$201*SUBSIDIO!$AA$201))*(0.03)/(1-0.03)</f>
        <v>455.46415678936552</v>
      </c>
      <c r="AF201" s="3" t="s">
        <v>648</v>
      </c>
    </row>
    <row r="202" spans="1:32" ht="11.25" customHeight="1" x14ac:dyDescent="0.25">
      <c r="A202" s="3" t="s">
        <v>55</v>
      </c>
      <c r="B202" s="3" t="s">
        <v>33</v>
      </c>
      <c r="C202" s="3" t="s">
        <v>23</v>
      </c>
      <c r="D202" s="3" t="s">
        <v>49</v>
      </c>
      <c r="E202" s="3" t="s">
        <v>50</v>
      </c>
      <c r="F202" s="3" t="s">
        <v>25</v>
      </c>
      <c r="G202" s="3" t="s">
        <v>25</v>
      </c>
      <c r="H202" s="3" t="s">
        <v>25</v>
      </c>
      <c r="I202" s="6">
        <v>44774</v>
      </c>
      <c r="J202" s="4">
        <v>0</v>
      </c>
      <c r="K202" s="58">
        <v>0</v>
      </c>
      <c r="L202" s="4">
        <v>20.888000000000002</v>
      </c>
      <c r="M202" s="58">
        <v>20.888000000000002</v>
      </c>
      <c r="N202" s="4">
        <v>20.888000000000002</v>
      </c>
      <c r="O202" s="58">
        <v>20.888000000000002</v>
      </c>
      <c r="P202" s="4">
        <v>35</v>
      </c>
      <c r="Q202" s="3" t="s">
        <v>26</v>
      </c>
      <c r="R202" s="3">
        <v>0</v>
      </c>
      <c r="S202" s="3">
        <v>0</v>
      </c>
      <c r="T202" s="3">
        <v>66</v>
      </c>
      <c r="U202" s="3">
        <v>10</v>
      </c>
      <c r="V202" s="58">
        <f>IF(ISERROR(VLOOKUP($S$202,'TAR FIN'!$A$1:$O$88,15,0)),0,VLOOKUP($S$202,'TAR FIN'!$A$1:$O$88,15,0))</f>
        <v>0</v>
      </c>
      <c r="W202" s="58">
        <f>IF(ISERROR(VLOOKUP($T$202,'TAR FIN'!$A$1:$O$88,15,0)),0,VLOOKUP($T$202,'TAR FIN'!$A$1:$O$88,15,0))*(1-0.06)</f>
        <v>471.39119999999997</v>
      </c>
      <c r="X202" s="58">
        <f>IF(ISERROR(VLOOKUP($U$202,'TAR FIN'!$A$1:$O$88,15,0)),0,VLOOKUP($U$202,'TAR FIN'!$A$1:$O$88,15,0))*(1-0.06)</f>
        <v>141.24439999999998</v>
      </c>
      <c r="Y202" s="58"/>
      <c r="Z202" s="58">
        <f ca="1">('TUSD BE'!$AM$48+'TUSD BF'!$AM$48+'TUSD CVA'!$AM$48)*1*(1-0.03)</f>
        <v>572.50639424651001</v>
      </c>
      <c r="AA202" s="58">
        <f>('TE BE'!$AB$38+'TE BF'!$AB$38+'TE CVA'!$AB$38)*1*(1-0.03)</f>
        <v>132.52397739539686</v>
      </c>
      <c r="AB202" s="58">
        <f>(SUBSIDIO!$J$202*SUBSIDIO!$V$202)*(0.06)/(1-0.06)</f>
        <v>0</v>
      </c>
      <c r="AC202" s="58">
        <f>((SUBSIDIO!$L$202*SUBSIDIO!$W$202)+(SUBSIDIO!$N$202*SUBSIDIO!$X$202))*(0.06)/(1-0.06)</f>
        <v>816.81270719999998</v>
      </c>
      <c r="AD202" s="58">
        <f>(SUBSIDIO!$J$202*SUBSIDIO!$Y$202)*(0.03)/(1-0.03)</f>
        <v>0</v>
      </c>
      <c r="AE202" s="58">
        <f ca="1">((SUBSIDIO!$L$202*SUBSIDIO!$Z$202)+(SUBSIDIO!$N$202*SUBSIDIO!$AA$202))*(0.03)/(1-0.03)</f>
        <v>455.46415678936552</v>
      </c>
      <c r="AF202" s="3" t="s">
        <v>648</v>
      </c>
    </row>
    <row r="203" spans="1:32" ht="11.25" customHeight="1" x14ac:dyDescent="0.25"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2" ht="11.25" customHeight="1" x14ac:dyDescent="0.25"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2" ht="11.25" customHeight="1" x14ac:dyDescent="0.25"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2" ht="11.25" customHeight="1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2" ht="11.25" customHeight="1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2" ht="11.25" customHeight="1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2:31" ht="11.25" customHeight="1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22:31" ht="11.25" customHeight="1" x14ac:dyDescent="0.25"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22:31" ht="11.25" customHeight="1" x14ac:dyDescent="0.25"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B6F2-4B0E-4FE2-8300-51BCBCEDC310}">
  <dimension ref="A1:J523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44" t="s">
        <v>632</v>
      </c>
      <c r="B1" s="45" t="s">
        <v>633</v>
      </c>
      <c r="C1" s="45" t="s">
        <v>634</v>
      </c>
      <c r="D1" s="45" t="s">
        <v>635</v>
      </c>
      <c r="E1" s="45" t="s">
        <v>636</v>
      </c>
      <c r="F1" s="45" t="s">
        <v>637</v>
      </c>
      <c r="G1" s="45" t="s">
        <v>638</v>
      </c>
      <c r="H1" s="46" t="s">
        <v>639</v>
      </c>
      <c r="I1" s="46" t="s">
        <v>640</v>
      </c>
      <c r="J1" s="46" t="s">
        <v>641</v>
      </c>
    </row>
    <row r="2" spans="1:10" ht="11.25" customHeight="1" x14ac:dyDescent="0.2">
      <c r="A2" s="47" t="s">
        <v>26</v>
      </c>
      <c r="B2" s="45">
        <v>12103669.814799998</v>
      </c>
      <c r="C2" s="45">
        <v>13145083.17862343</v>
      </c>
      <c r="D2" s="45">
        <v>34248151.362338051</v>
      </c>
      <c r="E2" s="45">
        <v>41871215.536269367</v>
      </c>
      <c r="F2" s="45">
        <v>21309723.215072788</v>
      </c>
      <c r="G2" s="45">
        <v>19401892.359772112</v>
      </c>
      <c r="H2" s="46">
        <v>0.18692852444011976</v>
      </c>
      <c r="I2" s="46">
        <v>-8.9528654879535541E-2</v>
      </c>
      <c r="J2" s="46">
        <v>9.9859480642180642E-2</v>
      </c>
    </row>
    <row r="3" spans="1:10" ht="11.25" customHeight="1" x14ac:dyDescent="0.2">
      <c r="A3" s="48" t="s">
        <v>35</v>
      </c>
      <c r="B3" s="45">
        <v>12103669.814799998</v>
      </c>
      <c r="C3" s="45">
        <v>13145083.17862343</v>
      </c>
      <c r="D3" s="45">
        <v>8511899.4107924066</v>
      </c>
      <c r="E3" s="45">
        <v>11499038.437335091</v>
      </c>
      <c r="F3" s="45">
        <v>13578103.258913595</v>
      </c>
      <c r="G3" s="45">
        <v>12345777.623642249</v>
      </c>
      <c r="H3" s="46">
        <v>0.19541310483753294</v>
      </c>
      <c r="I3" s="46">
        <v>-9.0758304880496521E-2</v>
      </c>
      <c r="J3" s="46">
        <v>8.1776146050465792E-2</v>
      </c>
    </row>
    <row r="4" spans="1:10" ht="11.25" customHeight="1" x14ac:dyDescent="0.2">
      <c r="A4" s="49" t="s">
        <v>36</v>
      </c>
      <c r="B4" s="45">
        <v>2277602.1699999995</v>
      </c>
      <c r="C4" s="45">
        <v>2395157.1204607431</v>
      </c>
      <c r="D4" s="45">
        <v>995334.4119000003</v>
      </c>
      <c r="E4" s="45">
        <v>1558077.4119448902</v>
      </c>
      <c r="F4" s="45">
        <v>2476961.7212999994</v>
      </c>
      <c r="G4" s="45">
        <v>2252156.8742209347</v>
      </c>
      <c r="H4" s="46">
        <v>0.20785552468930169</v>
      </c>
      <c r="I4" s="46">
        <v>-9.0758304880496521E-2</v>
      </c>
      <c r="J4" s="46">
        <v>7.9217592974309303E-2</v>
      </c>
    </row>
    <row r="5" spans="1:10" ht="11.25" customHeight="1" x14ac:dyDescent="0.2">
      <c r="A5" s="50" t="s">
        <v>34</v>
      </c>
      <c r="B5" s="45">
        <v>2277602.1699999995</v>
      </c>
      <c r="C5" s="45">
        <v>2395157.1204607431</v>
      </c>
      <c r="D5" s="45">
        <v>995334.4119000003</v>
      </c>
      <c r="E5" s="45">
        <v>1558077.4119448902</v>
      </c>
      <c r="F5" s="45">
        <v>2476961.7212999994</v>
      </c>
      <c r="G5" s="45">
        <v>2252156.8742209347</v>
      </c>
      <c r="H5" s="46">
        <v>0.20785552468930169</v>
      </c>
      <c r="I5" s="46">
        <v>-9.0758304880496521E-2</v>
      </c>
      <c r="J5" s="46">
        <v>7.9217592974309303E-2</v>
      </c>
    </row>
    <row r="6" spans="1:10" ht="11.25" customHeight="1" x14ac:dyDescent="0.2">
      <c r="A6" s="51" t="s">
        <v>25</v>
      </c>
      <c r="B6" s="45">
        <v>2277602.1699999995</v>
      </c>
      <c r="C6" s="45">
        <v>2395157.1204607431</v>
      </c>
      <c r="D6" s="45">
        <v>995334.4119000003</v>
      </c>
      <c r="E6" s="45">
        <v>1558077.4119448902</v>
      </c>
      <c r="F6" s="45">
        <v>2476961.7212999994</v>
      </c>
      <c r="G6" s="45">
        <v>2252156.8742209347</v>
      </c>
      <c r="H6" s="46">
        <v>0.20785552468930169</v>
      </c>
      <c r="I6" s="46">
        <v>-9.0758304880496521E-2</v>
      </c>
      <c r="J6" s="46">
        <v>7.9217592974309303E-2</v>
      </c>
    </row>
    <row r="7" spans="1:10" ht="11.25" customHeight="1" x14ac:dyDescent="0.2">
      <c r="A7" s="52" t="s">
        <v>25</v>
      </c>
      <c r="B7" s="45">
        <v>2277602.1699999995</v>
      </c>
      <c r="C7" s="45">
        <v>2395157.1204607431</v>
      </c>
      <c r="D7" s="45">
        <v>995334.4119000003</v>
      </c>
      <c r="E7" s="45">
        <v>1558077.4119448902</v>
      </c>
      <c r="F7" s="45">
        <v>2476961.7212999994</v>
      </c>
      <c r="G7" s="45">
        <v>2252156.8742209347</v>
      </c>
      <c r="H7" s="46">
        <v>0.20785552468930169</v>
      </c>
      <c r="I7" s="46">
        <v>-9.0758304880496521E-2</v>
      </c>
      <c r="J7" s="46">
        <v>7.9217592974309303E-2</v>
      </c>
    </row>
    <row r="8" spans="1:10" ht="11.25" customHeight="1" x14ac:dyDescent="0.2">
      <c r="A8" s="53" t="s">
        <v>25</v>
      </c>
      <c r="B8" s="45">
        <v>2277602.1699999995</v>
      </c>
      <c r="C8" s="45">
        <v>2395157.1204607431</v>
      </c>
      <c r="D8" s="45">
        <v>995334.4119000003</v>
      </c>
      <c r="E8" s="45">
        <v>1558077.4119448902</v>
      </c>
      <c r="F8" s="45">
        <v>2476961.7212999994</v>
      </c>
      <c r="G8" s="45">
        <v>2252156.8742209347</v>
      </c>
      <c r="H8" s="46">
        <v>0.20785552468930169</v>
      </c>
      <c r="I8" s="46">
        <v>-9.0758304880496521E-2</v>
      </c>
      <c r="J8" s="46">
        <v>7.9217592974309303E-2</v>
      </c>
    </row>
    <row r="9" spans="1:10" ht="11.25" customHeight="1" x14ac:dyDescent="0.2">
      <c r="A9" s="54" t="s">
        <v>38</v>
      </c>
      <c r="B9" s="45">
        <v>1508913.7599999998</v>
      </c>
      <c r="C9" s="45">
        <v>1650783.602810665</v>
      </c>
      <c r="D9" s="45">
        <v>974748.99812</v>
      </c>
      <c r="E9" s="45">
        <v>1525853.3997509065</v>
      </c>
      <c r="F9" s="45">
        <v>2425733.42924</v>
      </c>
      <c r="G9" s="45">
        <v>2205577.9751102235</v>
      </c>
      <c r="H9" s="46">
        <v>0.2790130190485749</v>
      </c>
      <c r="I9" s="46">
        <v>-9.0758304880496632E-2</v>
      </c>
      <c r="J9" s="46">
        <v>9.6308949668625132E-2</v>
      </c>
    </row>
    <row r="10" spans="1:10" ht="11.25" customHeight="1" x14ac:dyDescent="0.2">
      <c r="A10" s="55">
        <v>44440</v>
      </c>
      <c r="B10" s="45">
        <v>112266.87999999999</v>
      </c>
      <c r="C10" s="45">
        <v>122822.34383144113</v>
      </c>
      <c r="D10" s="45">
        <v>86683.037500000006</v>
      </c>
      <c r="E10" s="45">
        <v>135691.96554724468</v>
      </c>
      <c r="F10" s="45">
        <v>215717.01249999998</v>
      </c>
      <c r="G10" s="45">
        <v>196138.90211161508</v>
      </c>
      <c r="H10" s="46">
        <v>0.29939390087299644</v>
      </c>
      <c r="I10" s="46">
        <v>-9.0758304880496632E-2</v>
      </c>
      <c r="J10" s="46">
        <v>9.6429878047668227E-2</v>
      </c>
    </row>
    <row r="11" spans="1:10" ht="11.25" customHeight="1" x14ac:dyDescent="0.2">
      <c r="A11" s="55">
        <v>44470</v>
      </c>
      <c r="B11" s="45">
        <v>120162.79999999999</v>
      </c>
      <c r="C11" s="45">
        <v>131460.64749771878</v>
      </c>
      <c r="D11" s="45">
        <v>92303.872080000001</v>
      </c>
      <c r="E11" s="45">
        <v>144490.71227062895</v>
      </c>
      <c r="F11" s="45">
        <v>229704.86615999998</v>
      </c>
      <c r="G11" s="45">
        <v>208857.24188451702</v>
      </c>
      <c r="H11" s="46">
        <v>0.2987983341897682</v>
      </c>
      <c r="I11" s="46">
        <v>-9.0758304880496632E-2</v>
      </c>
      <c r="J11" s="46">
        <v>9.6426521667530629E-2</v>
      </c>
    </row>
    <row r="12" spans="1:10" ht="11.25" customHeight="1" x14ac:dyDescent="0.2">
      <c r="A12" s="55">
        <v>44501</v>
      </c>
      <c r="B12" s="45">
        <v>127093.27999999998</v>
      </c>
      <c r="C12" s="45">
        <v>139042.73936200613</v>
      </c>
      <c r="D12" s="45">
        <v>95701.213159999999</v>
      </c>
      <c r="E12" s="45">
        <v>149808.84488428591</v>
      </c>
      <c r="F12" s="45">
        <v>238159.39531999998</v>
      </c>
      <c r="G12" s="45">
        <v>216544.45230939271</v>
      </c>
      <c r="H12" s="46">
        <v>0.29649337445182322</v>
      </c>
      <c r="I12" s="46">
        <v>-9.0758304880496632E-2</v>
      </c>
      <c r="J12" s="46">
        <v>9.641343567408267E-2</v>
      </c>
    </row>
    <row r="13" spans="1:10" ht="11.25" customHeight="1" x14ac:dyDescent="0.2">
      <c r="A13" s="55">
        <v>44531</v>
      </c>
      <c r="B13" s="45">
        <v>127058.79999999999</v>
      </c>
      <c r="C13" s="45">
        <v>139005.01751193506</v>
      </c>
      <c r="D13" s="45">
        <v>80028.678459999996</v>
      </c>
      <c r="E13" s="45">
        <v>125275.35944256501</v>
      </c>
      <c r="F13" s="45">
        <v>199157.15841999996</v>
      </c>
      <c r="G13" s="45">
        <v>181081.99231698425</v>
      </c>
      <c r="H13" s="46">
        <v>0.27617748267453668</v>
      </c>
      <c r="I13" s="46">
        <v>-9.0758304880496521E-2</v>
      </c>
      <c r="J13" s="46">
        <v>9.6291073998939547E-2</v>
      </c>
    </row>
    <row r="14" spans="1:10" ht="11.25" customHeight="1" x14ac:dyDescent="0.2">
      <c r="A14" s="55">
        <v>44562</v>
      </c>
      <c r="B14" s="45">
        <v>118955.99999999999</v>
      </c>
      <c r="C14" s="45">
        <v>130140.38274523092</v>
      </c>
      <c r="D14" s="45">
        <v>77962.233340000006</v>
      </c>
      <c r="E14" s="45">
        <v>122040.5858569219</v>
      </c>
      <c r="F14" s="45">
        <v>194014.66017999998</v>
      </c>
      <c r="G14" s="45">
        <v>176406.2185000976</v>
      </c>
      <c r="H14" s="46">
        <v>0.28063798016477204</v>
      </c>
      <c r="I14" s="46">
        <v>-9.0758304880496521E-2</v>
      </c>
      <c r="J14" s="46">
        <v>9.6319072164041675E-2</v>
      </c>
    </row>
    <row r="15" spans="1:10" ht="11.25" customHeight="1" x14ac:dyDescent="0.2">
      <c r="A15" s="55">
        <v>44593</v>
      </c>
      <c r="B15" s="45">
        <v>137920</v>
      </c>
      <c r="C15" s="45">
        <v>150887.4002843257</v>
      </c>
      <c r="D15" s="45">
        <v>75000.715100000001</v>
      </c>
      <c r="E15" s="45">
        <v>117404.68196407992</v>
      </c>
      <c r="F15" s="45">
        <v>186644.7077</v>
      </c>
      <c r="G15" s="45">
        <v>169705.15041423222</v>
      </c>
      <c r="H15" s="46">
        <v>0.26005627081611093</v>
      </c>
      <c r="I15" s="46">
        <v>-9.0758304880496632E-2</v>
      </c>
      <c r="J15" s="46">
        <v>9.6184023115220008E-2</v>
      </c>
    </row>
    <row r="16" spans="1:10" ht="11.25" customHeight="1" x14ac:dyDescent="0.2">
      <c r="A16" s="55">
        <v>44621</v>
      </c>
      <c r="B16" s="45">
        <v>136196</v>
      </c>
      <c r="C16" s="45">
        <v>149001.30778077163</v>
      </c>
      <c r="D16" s="45">
        <v>65025.274920000003</v>
      </c>
      <c r="E16" s="45">
        <v>101789.31909423172</v>
      </c>
      <c r="F16" s="45">
        <v>161820.10283999998</v>
      </c>
      <c r="G16" s="45">
        <v>147133.58461065395</v>
      </c>
      <c r="H16" s="46">
        <v>0.24634250018896231</v>
      </c>
      <c r="I16" s="46">
        <v>-9.0758304880496521E-2</v>
      </c>
      <c r="J16" s="46">
        <v>9.6085008108132808E-2</v>
      </c>
    </row>
    <row r="17" spans="1:10" ht="11.25" customHeight="1" x14ac:dyDescent="0.2">
      <c r="A17" s="55">
        <v>44652</v>
      </c>
      <c r="B17" s="45">
        <v>117300.95999999999</v>
      </c>
      <c r="C17" s="45">
        <v>128329.73394181901</v>
      </c>
      <c r="D17" s="45">
        <v>68163.344280000005</v>
      </c>
      <c r="E17" s="45">
        <v>106701.59272656703</v>
      </c>
      <c r="F17" s="45">
        <v>169629.41555999999</v>
      </c>
      <c r="G17" s="45">
        <v>154234.13734590504</v>
      </c>
      <c r="H17" s="46">
        <v>0.26725909646501855</v>
      </c>
      <c r="I17" s="46">
        <v>-9.0758304880496743E-2</v>
      </c>
      <c r="J17" s="46">
        <v>9.6233028817542587E-2</v>
      </c>
    </row>
    <row r="18" spans="1:10" ht="11.25" customHeight="1" x14ac:dyDescent="0.2">
      <c r="A18" s="55">
        <v>44682</v>
      </c>
      <c r="B18" s="45">
        <v>107853.43999999999</v>
      </c>
      <c r="C18" s="45">
        <v>117993.94702234271</v>
      </c>
      <c r="D18" s="45">
        <v>69567.420800000007</v>
      </c>
      <c r="E18" s="45">
        <v>108899.50720063628</v>
      </c>
      <c r="F18" s="45">
        <v>173123.56160000002</v>
      </c>
      <c r="G18" s="45">
        <v>157411.16061430977</v>
      </c>
      <c r="H18" s="46">
        <v>0.27884315970458284</v>
      </c>
      <c r="I18" s="46">
        <v>-9.0758304880496632E-2</v>
      </c>
      <c r="J18" s="46">
        <v>9.6307886475984317E-2</v>
      </c>
    </row>
    <row r="19" spans="1:10" ht="11.25" customHeight="1" x14ac:dyDescent="0.2">
      <c r="A19" s="55">
        <v>44713</v>
      </c>
      <c r="B19" s="45">
        <v>128610.4</v>
      </c>
      <c r="C19" s="45">
        <v>140702.50076513374</v>
      </c>
      <c r="D19" s="45">
        <v>86809.292079999999</v>
      </c>
      <c r="E19" s="45">
        <v>135889.60204699863</v>
      </c>
      <c r="F19" s="45">
        <v>216031.20615999997</v>
      </c>
      <c r="G19" s="45">
        <v>196424.58008762926</v>
      </c>
      <c r="H19" s="46">
        <v>0.28396851811214563</v>
      </c>
      <c r="I19" s="46">
        <v>-9.0758304880496632E-2</v>
      </c>
      <c r="J19" s="46">
        <v>9.6339548322460722E-2</v>
      </c>
    </row>
    <row r="20" spans="1:10" ht="11.25" customHeight="1" x14ac:dyDescent="0.2">
      <c r="A20" s="55">
        <v>44743</v>
      </c>
      <c r="B20" s="45">
        <v>137747.59999999998</v>
      </c>
      <c r="C20" s="45">
        <v>150698.79103397031</v>
      </c>
      <c r="D20" s="45">
        <v>88751.958200000008</v>
      </c>
      <c r="E20" s="45">
        <v>138930.61435837319</v>
      </c>
      <c r="F20" s="45">
        <v>220865.67139999999</v>
      </c>
      <c r="G20" s="45">
        <v>200820.27745744321</v>
      </c>
      <c r="H20" s="46">
        <v>0.27871951580850185</v>
      </c>
      <c r="I20" s="46">
        <v>-9.0758304880496632E-2</v>
      </c>
      <c r="J20" s="46">
        <v>9.6307111950362234E-2</v>
      </c>
    </row>
    <row r="21" spans="1:10" ht="11.25" customHeight="1" x14ac:dyDescent="0.2">
      <c r="A21" s="55">
        <v>44774</v>
      </c>
      <c r="B21" s="45">
        <v>137747.59999999998</v>
      </c>
      <c r="C21" s="45">
        <v>150698.79103397031</v>
      </c>
      <c r="D21" s="45">
        <v>88751.958200000008</v>
      </c>
      <c r="E21" s="45">
        <v>138930.61435837319</v>
      </c>
      <c r="F21" s="45">
        <v>220865.67139999999</v>
      </c>
      <c r="G21" s="45">
        <v>200820.27745744321</v>
      </c>
      <c r="H21" s="46">
        <v>0.27871951580850185</v>
      </c>
      <c r="I21" s="46">
        <v>-9.0758304880496632E-2</v>
      </c>
      <c r="J21" s="46">
        <v>9.6307111950362234E-2</v>
      </c>
    </row>
    <row r="22" spans="1:10" ht="11.25" customHeight="1" x14ac:dyDescent="0.2">
      <c r="A22" s="54" t="s">
        <v>37</v>
      </c>
      <c r="B22" s="45">
        <v>768688.41000000027</v>
      </c>
      <c r="C22" s="45">
        <v>744373.51765007828</v>
      </c>
      <c r="D22" s="45">
        <v>20585.413779999999</v>
      </c>
      <c r="E22" s="45">
        <v>32224.012193983577</v>
      </c>
      <c r="F22" s="45">
        <v>51228.29206</v>
      </c>
      <c r="G22" s="45">
        <v>46578.899110711391</v>
      </c>
      <c r="H22" s="46">
        <v>-1.6060704858079422E-2</v>
      </c>
      <c r="I22" s="46">
        <v>-9.0758304880496743E-2</v>
      </c>
      <c r="J22" s="46">
        <v>-2.0613495860045128E-2</v>
      </c>
    </row>
    <row r="23" spans="1:10" ht="11.25" customHeight="1" x14ac:dyDescent="0.2">
      <c r="A23" s="55">
        <v>44440</v>
      </c>
      <c r="B23" s="45">
        <v>133387.16999999998</v>
      </c>
      <c r="C23" s="45">
        <v>129167.91205722615</v>
      </c>
      <c r="D23" s="45">
        <v>3954.2258200000006</v>
      </c>
      <c r="E23" s="45">
        <v>6189.8693124761048</v>
      </c>
      <c r="F23" s="45">
        <v>9840.3771400000005</v>
      </c>
      <c r="G23" s="45">
        <v>8947.2811913888108</v>
      </c>
      <c r="H23" s="46">
        <v>-1.444294663276513E-2</v>
      </c>
      <c r="I23" s="46">
        <v>-9.0758304880496632E-2</v>
      </c>
      <c r="J23" s="46">
        <v>-1.9545289753308825E-2</v>
      </c>
    </row>
    <row r="24" spans="1:10" ht="11.25" customHeight="1" x14ac:dyDescent="0.2">
      <c r="A24" s="55">
        <v>44470</v>
      </c>
      <c r="B24" s="45">
        <v>138387.82999999999</v>
      </c>
      <c r="C24" s="45">
        <v>134010.39286784749</v>
      </c>
      <c r="D24" s="45">
        <v>4212.2295599999998</v>
      </c>
      <c r="E24" s="45">
        <v>6593.7434222076681</v>
      </c>
      <c r="F24" s="45">
        <v>10482.438119999999</v>
      </c>
      <c r="G24" s="45">
        <v>9531.0698052140997</v>
      </c>
      <c r="H24" s="46">
        <v>-1.3996651025976914E-2</v>
      </c>
      <c r="I24" s="46">
        <v>-9.0758304880496521E-2</v>
      </c>
      <c r="J24" s="46">
        <v>-1.9252962483612635E-2</v>
      </c>
    </row>
    <row r="25" spans="1:10" ht="11.25" customHeight="1" x14ac:dyDescent="0.2">
      <c r="A25" s="55">
        <v>44501</v>
      </c>
      <c r="B25" s="45">
        <v>134691.69</v>
      </c>
      <c r="C25" s="45">
        <v>130431.1679208665</v>
      </c>
      <c r="D25" s="45">
        <v>4026.5006800000006</v>
      </c>
      <c r="E25" s="45">
        <v>6303.0069931100115</v>
      </c>
      <c r="F25" s="45">
        <v>10020.238360000001</v>
      </c>
      <c r="G25" s="45">
        <v>9110.818511947873</v>
      </c>
      <c r="H25" s="46">
        <v>-1.4302491665280415E-2</v>
      </c>
      <c r="I25" s="46">
        <v>-9.0758304880496632E-2</v>
      </c>
      <c r="J25" s="46">
        <v>-1.9453181217192195E-2</v>
      </c>
    </row>
    <row r="26" spans="1:10" ht="11.25" customHeight="1" x14ac:dyDescent="0.2">
      <c r="A26" s="55">
        <v>44531</v>
      </c>
      <c r="B26" s="45">
        <v>145127.85</v>
      </c>
      <c r="C26" s="45">
        <v>140537.21482998933</v>
      </c>
      <c r="D26" s="45">
        <v>3458.6267800000001</v>
      </c>
      <c r="E26" s="45">
        <v>5414.0680738436031</v>
      </c>
      <c r="F26" s="45">
        <v>8607.04306</v>
      </c>
      <c r="G26" s="45">
        <v>7825.8824218409563</v>
      </c>
      <c r="H26" s="46">
        <v>-1.7735085542601392E-2</v>
      </c>
      <c r="I26" s="46">
        <v>-9.0758304880496743E-2</v>
      </c>
      <c r="J26" s="46">
        <v>-2.1733430982418755E-2</v>
      </c>
    </row>
    <row r="27" spans="1:10" ht="11.25" customHeight="1" x14ac:dyDescent="0.2">
      <c r="A27" s="55">
        <v>44562</v>
      </c>
      <c r="B27" s="45">
        <v>104905.15</v>
      </c>
      <c r="C27" s="45">
        <v>101586.82570107843</v>
      </c>
      <c r="D27" s="45">
        <v>3179.0070000000001</v>
      </c>
      <c r="E27" s="45">
        <v>4976.3566293861086</v>
      </c>
      <c r="F27" s="45">
        <v>7911.1889999999994</v>
      </c>
      <c r="G27" s="45">
        <v>7193.1828967707679</v>
      </c>
      <c r="H27" s="46">
        <v>-1.4072133342682758E-2</v>
      </c>
      <c r="I27" s="46">
        <v>-9.0758304880496632E-2</v>
      </c>
      <c r="J27" s="46">
        <v>-1.9302332808806666E-2</v>
      </c>
    </row>
    <row r="28" spans="1:10" ht="11.25" customHeight="1" x14ac:dyDescent="0.2">
      <c r="A28" s="55">
        <v>44593</v>
      </c>
      <c r="B28" s="45">
        <v>11740.679999999998</v>
      </c>
      <c r="C28" s="45">
        <v>11369.302772763182</v>
      </c>
      <c r="D28" s="45">
        <v>194.00094000000001</v>
      </c>
      <c r="E28" s="45">
        <v>303.68535328048563</v>
      </c>
      <c r="F28" s="45">
        <v>482.78537999999998</v>
      </c>
      <c r="G28" s="45">
        <v>438.96859729011356</v>
      </c>
      <c r="H28" s="46">
        <v>-2.1927089234471953E-2</v>
      </c>
      <c r="I28" s="46">
        <v>-9.0758304880496632E-2</v>
      </c>
      <c r="J28" s="46">
        <v>-2.4603215244816345E-2</v>
      </c>
    </row>
    <row r="29" spans="1:10" ht="11.25" customHeight="1" x14ac:dyDescent="0.2">
      <c r="A29" s="55">
        <v>44621</v>
      </c>
      <c r="B29" s="45">
        <v>22937.809999999998</v>
      </c>
      <c r="C29" s="45">
        <v>22212.248935676216</v>
      </c>
      <c r="D29" s="45">
        <v>316.02892000000003</v>
      </c>
      <c r="E29" s="45">
        <v>494.70561440089068</v>
      </c>
      <c r="F29" s="45">
        <v>786.46083999999996</v>
      </c>
      <c r="G29" s="45">
        <v>715.08298730670845</v>
      </c>
      <c r="H29" s="46">
        <v>-2.3518025208841165E-2</v>
      </c>
      <c r="I29" s="46">
        <v>-9.0758304880496632E-2</v>
      </c>
      <c r="J29" s="46">
        <v>-2.5717741824704432E-2</v>
      </c>
    </row>
    <row r="30" spans="1:10" ht="11.25" customHeight="1" x14ac:dyDescent="0.2">
      <c r="A30" s="55">
        <v>44652</v>
      </c>
      <c r="B30" s="45">
        <v>32395.579999999998</v>
      </c>
      <c r="C30" s="45">
        <v>31370.853947068779</v>
      </c>
      <c r="D30" s="45">
        <v>427.85268000000002</v>
      </c>
      <c r="E30" s="45">
        <v>669.75238510598228</v>
      </c>
      <c r="F30" s="45">
        <v>1064.74236</v>
      </c>
      <c r="G30" s="45">
        <v>968.10814827194054</v>
      </c>
      <c r="H30" s="46">
        <v>-2.384961851665901E-2</v>
      </c>
      <c r="I30" s="46">
        <v>-9.0758304880496521E-2</v>
      </c>
      <c r="J30" s="46">
        <v>-2.5951841859740754E-2</v>
      </c>
    </row>
    <row r="31" spans="1:10" ht="11.25" customHeight="1" x14ac:dyDescent="0.2">
      <c r="A31" s="55">
        <v>44682</v>
      </c>
      <c r="B31" s="45">
        <v>10871</v>
      </c>
      <c r="C31" s="45">
        <v>10527.132197002946</v>
      </c>
      <c r="D31" s="45">
        <v>178.60404000000003</v>
      </c>
      <c r="E31" s="45">
        <v>279.58334111536772</v>
      </c>
      <c r="F31" s="45">
        <v>444.46908000000002</v>
      </c>
      <c r="G31" s="45">
        <v>404.12981972740613</v>
      </c>
      <c r="H31" s="46">
        <v>-2.1981647577815622E-2</v>
      </c>
      <c r="I31" s="46">
        <v>-9.0758304880496743E-2</v>
      </c>
      <c r="J31" s="46">
        <v>-2.4641200660317497E-2</v>
      </c>
    </row>
    <row r="32" spans="1:10" ht="11.25" customHeight="1" x14ac:dyDescent="0.2">
      <c r="A32" s="55">
        <v>44713</v>
      </c>
      <c r="B32" s="45">
        <v>11414.55</v>
      </c>
      <c r="C32" s="45">
        <v>11053.488806853093</v>
      </c>
      <c r="D32" s="45">
        <v>207.46567999999999</v>
      </c>
      <c r="E32" s="45">
        <v>324.76279921311811</v>
      </c>
      <c r="F32" s="45">
        <v>516.29336000000001</v>
      </c>
      <c r="G32" s="45">
        <v>469.43544982534394</v>
      </c>
      <c r="H32" s="46">
        <v>-2.0974337038047075E-2</v>
      </c>
      <c r="I32" s="46">
        <v>-9.0758304880496743E-2</v>
      </c>
      <c r="J32" s="46">
        <v>-2.3942542832839586E-2</v>
      </c>
    </row>
    <row r="33" spans="1:10" ht="11.25" customHeight="1" x14ac:dyDescent="0.2">
      <c r="A33" s="55">
        <v>44743</v>
      </c>
      <c r="B33" s="45">
        <v>11414.55</v>
      </c>
      <c r="C33" s="45">
        <v>11053.488806853093</v>
      </c>
      <c r="D33" s="45">
        <v>215.43584000000001</v>
      </c>
      <c r="E33" s="45">
        <v>337.23913492212034</v>
      </c>
      <c r="F33" s="45">
        <v>536.12767999999994</v>
      </c>
      <c r="G33" s="45">
        <v>487.46964056368665</v>
      </c>
      <c r="H33" s="46">
        <v>-2.057250124947585E-2</v>
      </c>
      <c r="I33" s="46">
        <v>-9.0758304880496521E-2</v>
      </c>
      <c r="J33" s="46">
        <v>-2.3665399569697598E-2</v>
      </c>
    </row>
    <row r="34" spans="1:10" ht="11.25" customHeight="1" x14ac:dyDescent="0.2">
      <c r="A34" s="55">
        <v>44774</v>
      </c>
      <c r="B34" s="45">
        <v>11414.55</v>
      </c>
      <c r="C34" s="45">
        <v>11053.488806853093</v>
      </c>
      <c r="D34" s="45">
        <v>215.43584000000001</v>
      </c>
      <c r="E34" s="45">
        <v>337.23913492212034</v>
      </c>
      <c r="F34" s="45">
        <v>536.12767999999994</v>
      </c>
      <c r="G34" s="45">
        <v>487.46964056368665</v>
      </c>
      <c r="H34" s="46">
        <v>-2.057250124947585E-2</v>
      </c>
      <c r="I34" s="46">
        <v>-9.0758304880496521E-2</v>
      </c>
      <c r="J34" s="46">
        <v>-2.3665399569697598E-2</v>
      </c>
    </row>
    <row r="35" spans="1:10" ht="11.25" customHeight="1" x14ac:dyDescent="0.2">
      <c r="A35" s="49" t="s">
        <v>39</v>
      </c>
      <c r="B35" s="45">
        <v>9826067.6447999999</v>
      </c>
      <c r="C35" s="45">
        <v>10749926.058162685</v>
      </c>
      <c r="D35" s="45">
        <v>7516564.998892392</v>
      </c>
      <c r="E35" s="45">
        <v>9940961.0253902059</v>
      </c>
      <c r="F35" s="45">
        <v>11101141.537613599</v>
      </c>
      <c r="G35" s="45">
        <v>10093620.749421315</v>
      </c>
      <c r="H35" s="46">
        <v>0.19306494628877879</v>
      </c>
      <c r="I35" s="46">
        <v>-9.075830488049641E-2</v>
      </c>
      <c r="J35" s="46">
        <v>8.229335659705117E-2</v>
      </c>
    </row>
    <row r="36" spans="1:10" ht="11.25" customHeight="1" x14ac:dyDescent="0.2">
      <c r="A36" s="50" t="s">
        <v>40</v>
      </c>
      <c r="B36" s="45">
        <v>772972.63999999978</v>
      </c>
      <c r="C36" s="45">
        <v>845648.43489350332</v>
      </c>
      <c r="D36" s="45">
        <v>532452.30668000004</v>
      </c>
      <c r="E36" s="45">
        <v>695983.30381446611</v>
      </c>
      <c r="F36" s="45">
        <v>752185.48217999993</v>
      </c>
      <c r="G36" s="45">
        <v>683918.40286162414</v>
      </c>
      <c r="H36" s="46">
        <v>0.18094245297571376</v>
      </c>
      <c r="I36" s="46">
        <v>-9.0758304880496632E-2</v>
      </c>
      <c r="J36" s="46">
        <v>8.1618809058349839E-2</v>
      </c>
    </row>
    <row r="37" spans="1:10" ht="11.25" customHeight="1" x14ac:dyDescent="0.2">
      <c r="A37" s="51" t="s">
        <v>25</v>
      </c>
      <c r="B37" s="45">
        <v>772972.63999999978</v>
      </c>
      <c r="C37" s="45">
        <v>845648.43489350332</v>
      </c>
      <c r="D37" s="45">
        <v>532452.30668000004</v>
      </c>
      <c r="E37" s="45">
        <v>695983.30381446611</v>
      </c>
      <c r="F37" s="45">
        <v>752185.48217999993</v>
      </c>
      <c r="G37" s="45">
        <v>683918.40286162414</v>
      </c>
      <c r="H37" s="46">
        <v>0.18094245297571376</v>
      </c>
      <c r="I37" s="46">
        <v>-9.0758304880496632E-2</v>
      </c>
      <c r="J37" s="46">
        <v>8.1618809058349839E-2</v>
      </c>
    </row>
    <row r="38" spans="1:10" ht="11.25" customHeight="1" x14ac:dyDescent="0.2">
      <c r="A38" s="52" t="s">
        <v>25</v>
      </c>
      <c r="B38" s="45">
        <v>772972.63999999978</v>
      </c>
      <c r="C38" s="45">
        <v>845648.43489350332</v>
      </c>
      <c r="D38" s="45">
        <v>532452.30668000004</v>
      </c>
      <c r="E38" s="45">
        <v>695983.30381446611</v>
      </c>
      <c r="F38" s="45">
        <v>752185.48217999993</v>
      </c>
      <c r="G38" s="45">
        <v>683918.40286162414</v>
      </c>
      <c r="H38" s="46">
        <v>0.18094245297571376</v>
      </c>
      <c r="I38" s="46">
        <v>-9.0758304880496632E-2</v>
      </c>
      <c r="J38" s="46">
        <v>8.1618809058349839E-2</v>
      </c>
    </row>
    <row r="39" spans="1:10" ht="11.25" customHeight="1" x14ac:dyDescent="0.2">
      <c r="A39" s="53" t="s">
        <v>25</v>
      </c>
      <c r="B39" s="45">
        <v>772972.63999999978</v>
      </c>
      <c r="C39" s="45">
        <v>845648.43489350332</v>
      </c>
      <c r="D39" s="45">
        <v>532452.30668000004</v>
      </c>
      <c r="E39" s="45">
        <v>695983.30381446611</v>
      </c>
      <c r="F39" s="45">
        <v>752185.48217999993</v>
      </c>
      <c r="G39" s="45">
        <v>683918.40286162414</v>
      </c>
      <c r="H39" s="46">
        <v>0.18094245297571376</v>
      </c>
      <c r="I39" s="46">
        <v>-9.0758304880496632E-2</v>
      </c>
      <c r="J39" s="46">
        <v>8.1618809058349839E-2</v>
      </c>
    </row>
    <row r="40" spans="1:10" ht="11.25" customHeight="1" x14ac:dyDescent="0.2">
      <c r="A40" s="54" t="s">
        <v>38</v>
      </c>
      <c r="B40" s="45">
        <v>0</v>
      </c>
      <c r="C40" s="45">
        <v>0</v>
      </c>
      <c r="D40" s="45">
        <v>296942.19820000004</v>
      </c>
      <c r="E40" s="45">
        <v>464827.62590867339</v>
      </c>
      <c r="F40" s="45">
        <v>738962.15139999986</v>
      </c>
      <c r="G40" s="45">
        <v>671895.19916809117</v>
      </c>
      <c r="H40" s="46">
        <v>0.56538083413660578</v>
      </c>
      <c r="I40" s="46">
        <v>-9.0758304880496299E-2</v>
      </c>
      <c r="J40" s="46">
        <v>9.7324116377824232E-2</v>
      </c>
    </row>
    <row r="41" spans="1:10" ht="11.25" customHeight="1" x14ac:dyDescent="0.2">
      <c r="A41" s="55">
        <v>44440</v>
      </c>
      <c r="B41" s="45">
        <v>0</v>
      </c>
      <c r="C41" s="45">
        <v>0</v>
      </c>
      <c r="D41" s="45">
        <v>22725.099839999999</v>
      </c>
      <c r="E41" s="45">
        <v>35573.435743376845</v>
      </c>
      <c r="F41" s="45">
        <v>56553.055679999998</v>
      </c>
      <c r="G41" s="45">
        <v>51420.396210670857</v>
      </c>
      <c r="H41" s="46">
        <v>0.56538083413660578</v>
      </c>
      <c r="I41" s="46">
        <v>-9.0758304880496632E-2</v>
      </c>
      <c r="J41" s="46">
        <v>9.7324116377823788E-2</v>
      </c>
    </row>
    <row r="42" spans="1:10" ht="11.25" customHeight="1" x14ac:dyDescent="0.2">
      <c r="A42" s="55">
        <v>44470</v>
      </c>
      <c r="B42" s="45">
        <v>0</v>
      </c>
      <c r="C42" s="45">
        <v>0</v>
      </c>
      <c r="D42" s="45">
        <v>23726.864420000002</v>
      </c>
      <c r="E42" s="45">
        <v>37141.578817225753</v>
      </c>
      <c r="F42" s="45">
        <v>59046.019339999999</v>
      </c>
      <c r="G42" s="45">
        <v>53687.102714760578</v>
      </c>
      <c r="H42" s="46">
        <v>0.56538083413660556</v>
      </c>
      <c r="I42" s="46">
        <v>-9.0758304880496632E-2</v>
      </c>
      <c r="J42" s="46">
        <v>9.732411637782401E-2</v>
      </c>
    </row>
    <row r="43" spans="1:10" ht="11.25" customHeight="1" x14ac:dyDescent="0.2">
      <c r="A43" s="55">
        <v>44501</v>
      </c>
      <c r="B43" s="45">
        <v>0</v>
      </c>
      <c r="C43" s="45">
        <v>0</v>
      </c>
      <c r="D43" s="45">
        <v>23580.201399999998</v>
      </c>
      <c r="E43" s="45">
        <v>36911.995336641157</v>
      </c>
      <c r="F43" s="45">
        <v>58681.037799999991</v>
      </c>
      <c r="G43" s="45">
        <v>53355.246280643645</v>
      </c>
      <c r="H43" s="46">
        <v>0.56538083413660578</v>
      </c>
      <c r="I43" s="46">
        <v>-9.0758304880496632E-2</v>
      </c>
      <c r="J43" s="46">
        <v>9.732411637782401E-2</v>
      </c>
    </row>
    <row r="44" spans="1:10" ht="11.25" customHeight="1" x14ac:dyDescent="0.2">
      <c r="A44" s="55">
        <v>44531</v>
      </c>
      <c r="B44" s="45">
        <v>0</v>
      </c>
      <c r="C44" s="45">
        <v>0</v>
      </c>
      <c r="D44" s="45">
        <v>25132.93348</v>
      </c>
      <c r="E44" s="45">
        <v>39342.612375222227</v>
      </c>
      <c r="F44" s="45">
        <v>62545.12395999999</v>
      </c>
      <c r="G44" s="45">
        <v>56868.634530849857</v>
      </c>
      <c r="H44" s="46">
        <v>0.56538083413660578</v>
      </c>
      <c r="I44" s="46">
        <v>-9.0758304880496632E-2</v>
      </c>
      <c r="J44" s="46">
        <v>9.7324116377823788E-2</v>
      </c>
    </row>
    <row r="45" spans="1:10" ht="11.25" customHeight="1" x14ac:dyDescent="0.2">
      <c r="A45" s="55">
        <v>44562</v>
      </c>
      <c r="B45" s="45">
        <v>0</v>
      </c>
      <c r="C45" s="45">
        <v>0</v>
      </c>
      <c r="D45" s="45">
        <v>24095.967360000002</v>
      </c>
      <c r="E45" s="45">
        <v>37719.36548532523</v>
      </c>
      <c r="F45" s="45">
        <v>59964.558719999994</v>
      </c>
      <c r="G45" s="45">
        <v>54522.277017665794</v>
      </c>
      <c r="H45" s="46">
        <v>0.56538083413660578</v>
      </c>
      <c r="I45" s="46">
        <v>-9.0758304880496632E-2</v>
      </c>
      <c r="J45" s="46">
        <v>9.732411637782401E-2</v>
      </c>
    </row>
    <row r="46" spans="1:10" ht="11.25" customHeight="1" x14ac:dyDescent="0.2">
      <c r="A46" s="55">
        <v>44593</v>
      </c>
      <c r="B46" s="45">
        <v>0</v>
      </c>
      <c r="C46" s="45">
        <v>0</v>
      </c>
      <c r="D46" s="45">
        <v>27398.511839999999</v>
      </c>
      <c r="E46" s="45">
        <v>42889.105318200869</v>
      </c>
      <c r="F46" s="45">
        <v>68183.179679999987</v>
      </c>
      <c r="G46" s="45">
        <v>61994.989870880869</v>
      </c>
      <c r="H46" s="46">
        <v>0.56538083413660578</v>
      </c>
      <c r="I46" s="46">
        <v>-9.0758304880496632E-2</v>
      </c>
      <c r="J46" s="46">
        <v>9.732411637782401E-2</v>
      </c>
    </row>
    <row r="47" spans="1:10" ht="11.25" customHeight="1" x14ac:dyDescent="0.2">
      <c r="A47" s="55">
        <v>44621</v>
      </c>
      <c r="B47" s="45">
        <v>0</v>
      </c>
      <c r="C47" s="45">
        <v>0</v>
      </c>
      <c r="D47" s="45">
        <v>26203.591640000002</v>
      </c>
      <c r="E47" s="45">
        <v>41018.600138798189</v>
      </c>
      <c r="F47" s="45">
        <v>65209.53428</v>
      </c>
      <c r="G47" s="45">
        <v>59291.227486700562</v>
      </c>
      <c r="H47" s="46">
        <v>0.56538083413660556</v>
      </c>
      <c r="I47" s="46">
        <v>-9.0758304880496632E-2</v>
      </c>
      <c r="J47" s="46">
        <v>9.732411637782401E-2</v>
      </c>
    </row>
    <row r="48" spans="1:10" ht="11.25" customHeight="1" x14ac:dyDescent="0.2">
      <c r="A48" s="55">
        <v>44652</v>
      </c>
      <c r="B48" s="45">
        <v>0</v>
      </c>
      <c r="C48" s="45">
        <v>0</v>
      </c>
      <c r="D48" s="45">
        <v>27515.045239999999</v>
      </c>
      <c r="E48" s="45">
        <v>43071.52446909764</v>
      </c>
      <c r="F48" s="45">
        <v>68473.181479999999</v>
      </c>
      <c r="G48" s="45">
        <v>62258.671599100577</v>
      </c>
      <c r="H48" s="46">
        <v>0.56538083413660556</v>
      </c>
      <c r="I48" s="46">
        <v>-9.0758304880496743E-2</v>
      </c>
      <c r="J48" s="46">
        <v>9.7324116377823788E-2</v>
      </c>
    </row>
    <row r="49" spans="1:10" ht="11.25" customHeight="1" x14ac:dyDescent="0.2">
      <c r="A49" s="55">
        <v>44682</v>
      </c>
      <c r="B49" s="45">
        <v>0</v>
      </c>
      <c r="C49" s="45">
        <v>0</v>
      </c>
      <c r="D49" s="45">
        <v>23437.281940000001</v>
      </c>
      <c r="E49" s="45">
        <v>36688.271953132011</v>
      </c>
      <c r="F49" s="45">
        <v>58325.372380000001</v>
      </c>
      <c r="G49" s="45">
        <v>53031.860451267465</v>
      </c>
      <c r="H49" s="46">
        <v>0.565380834136606</v>
      </c>
      <c r="I49" s="46">
        <v>-9.0758304880496632E-2</v>
      </c>
      <c r="J49" s="46">
        <v>9.732411637782401E-2</v>
      </c>
    </row>
    <row r="50" spans="1:10" ht="11.25" customHeight="1" x14ac:dyDescent="0.2">
      <c r="A50" s="55">
        <v>44713</v>
      </c>
      <c r="B50" s="45">
        <v>0</v>
      </c>
      <c r="C50" s="45">
        <v>0</v>
      </c>
      <c r="D50" s="45">
        <v>24600.261119999999</v>
      </c>
      <c r="E50" s="45">
        <v>38508.777272003914</v>
      </c>
      <c r="F50" s="45">
        <v>61219.530239999993</v>
      </c>
      <c r="G50" s="45">
        <v>55663.349449837289</v>
      </c>
      <c r="H50" s="46">
        <v>0.565380834136606</v>
      </c>
      <c r="I50" s="46">
        <v>-9.0758304880496632E-2</v>
      </c>
      <c r="J50" s="46">
        <v>9.732411637782401E-2</v>
      </c>
    </row>
    <row r="51" spans="1:10" ht="11.25" customHeight="1" x14ac:dyDescent="0.2">
      <c r="A51" s="55">
        <v>44743</v>
      </c>
      <c r="B51" s="45">
        <v>0</v>
      </c>
      <c r="C51" s="45">
        <v>0</v>
      </c>
      <c r="D51" s="45">
        <v>24263.219959999999</v>
      </c>
      <c r="E51" s="45">
        <v>37981.179499824742</v>
      </c>
      <c r="F51" s="45">
        <v>60380.778919999997</v>
      </c>
      <c r="G51" s="45">
        <v>54900.721777856772</v>
      </c>
      <c r="H51" s="46">
        <v>0.56538083413660578</v>
      </c>
      <c r="I51" s="46">
        <v>-9.0758304880496632E-2</v>
      </c>
      <c r="J51" s="46">
        <v>9.732411637782401E-2</v>
      </c>
    </row>
    <row r="52" spans="1:10" ht="11.25" customHeight="1" x14ac:dyDescent="0.2">
      <c r="A52" s="55">
        <v>44774</v>
      </c>
      <c r="B52" s="45">
        <v>0</v>
      </c>
      <c r="C52" s="45">
        <v>0</v>
      </c>
      <c r="D52" s="45">
        <v>24263.219959999999</v>
      </c>
      <c r="E52" s="45">
        <v>37981.179499824742</v>
      </c>
      <c r="F52" s="45">
        <v>60380.778919999997</v>
      </c>
      <c r="G52" s="45">
        <v>54900.721777856772</v>
      </c>
      <c r="H52" s="46">
        <v>0.56538083413660578</v>
      </c>
      <c r="I52" s="46">
        <v>-9.0758304880496632E-2</v>
      </c>
      <c r="J52" s="46">
        <v>9.732411637782401E-2</v>
      </c>
    </row>
    <row r="53" spans="1:10" ht="11.25" customHeight="1" x14ac:dyDescent="0.2">
      <c r="A53" s="54" t="s">
        <v>25</v>
      </c>
      <c r="B53" s="45">
        <v>772972.63999999978</v>
      </c>
      <c r="C53" s="45">
        <v>845648.43489350332</v>
      </c>
      <c r="D53" s="45">
        <v>0</v>
      </c>
      <c r="E53" s="45">
        <v>0</v>
      </c>
      <c r="F53" s="45">
        <v>0</v>
      </c>
      <c r="G53" s="45">
        <v>0</v>
      </c>
      <c r="H53" s="46">
        <v>9.4021173755261866E-2</v>
      </c>
      <c r="I53" s="46">
        <v>0</v>
      </c>
      <c r="J53" s="46">
        <v>9.4021173755261866E-2</v>
      </c>
    </row>
    <row r="54" spans="1:10" ht="11.25" customHeight="1" x14ac:dyDescent="0.2">
      <c r="A54" s="55">
        <v>44440</v>
      </c>
      <c r="B54" s="45">
        <v>62339.839999999997</v>
      </c>
      <c r="C54" s="45">
        <v>68201.104928515226</v>
      </c>
      <c r="D54" s="45">
        <v>0</v>
      </c>
      <c r="E54" s="45">
        <v>0</v>
      </c>
      <c r="F54" s="45">
        <v>0</v>
      </c>
      <c r="G54" s="45">
        <v>0</v>
      </c>
      <c r="H54" s="46">
        <v>9.4021173755261866E-2</v>
      </c>
      <c r="I54" s="46">
        <v>0</v>
      </c>
      <c r="J54" s="46">
        <v>9.4021173755261866E-2</v>
      </c>
    </row>
    <row r="55" spans="1:10" ht="11.25" customHeight="1" x14ac:dyDescent="0.2">
      <c r="A55" s="55">
        <v>44470</v>
      </c>
      <c r="B55" s="45">
        <v>64891.359999999993</v>
      </c>
      <c r="C55" s="45">
        <v>70992.521833775245</v>
      </c>
      <c r="D55" s="45">
        <v>0</v>
      </c>
      <c r="E55" s="45">
        <v>0</v>
      </c>
      <c r="F55" s="45">
        <v>0</v>
      </c>
      <c r="G55" s="45">
        <v>0</v>
      </c>
      <c r="H55" s="46">
        <v>9.4021173755261866E-2</v>
      </c>
      <c r="I55" s="46">
        <v>0</v>
      </c>
      <c r="J55" s="46">
        <v>9.4021173755261866E-2</v>
      </c>
    </row>
    <row r="56" spans="1:10" ht="11.25" customHeight="1" x14ac:dyDescent="0.2">
      <c r="A56" s="55">
        <v>44501</v>
      </c>
      <c r="B56" s="45">
        <v>64132.799999999996</v>
      </c>
      <c r="C56" s="45">
        <v>70162.641132211458</v>
      </c>
      <c r="D56" s="45">
        <v>0</v>
      </c>
      <c r="E56" s="45">
        <v>0</v>
      </c>
      <c r="F56" s="45">
        <v>0</v>
      </c>
      <c r="G56" s="45">
        <v>0</v>
      </c>
      <c r="H56" s="46">
        <v>9.4021173755261866E-2</v>
      </c>
      <c r="I56" s="46">
        <v>0</v>
      </c>
      <c r="J56" s="46">
        <v>9.4021173755261866E-2</v>
      </c>
    </row>
    <row r="57" spans="1:10" ht="11.25" customHeight="1" x14ac:dyDescent="0.2">
      <c r="A57" s="55">
        <v>44531</v>
      </c>
      <c r="B57" s="45">
        <v>64753.439999999995</v>
      </c>
      <c r="C57" s="45">
        <v>70841.634433490923</v>
      </c>
      <c r="D57" s="45">
        <v>0</v>
      </c>
      <c r="E57" s="45">
        <v>0</v>
      </c>
      <c r="F57" s="45">
        <v>0</v>
      </c>
      <c r="G57" s="45">
        <v>0</v>
      </c>
      <c r="H57" s="46">
        <v>9.4021173755261866E-2</v>
      </c>
      <c r="I57" s="46">
        <v>0</v>
      </c>
      <c r="J57" s="46">
        <v>9.4021173755261866E-2</v>
      </c>
    </row>
    <row r="58" spans="1:10" ht="11.25" customHeight="1" x14ac:dyDescent="0.2">
      <c r="A58" s="55">
        <v>44562</v>
      </c>
      <c r="B58" s="45">
        <v>63132.88</v>
      </c>
      <c r="C58" s="45">
        <v>69068.707480150086</v>
      </c>
      <c r="D58" s="45">
        <v>0</v>
      </c>
      <c r="E58" s="45">
        <v>0</v>
      </c>
      <c r="F58" s="45">
        <v>0</v>
      </c>
      <c r="G58" s="45">
        <v>0</v>
      </c>
      <c r="H58" s="46">
        <v>9.4021173755261644E-2</v>
      </c>
      <c r="I58" s="46">
        <v>0</v>
      </c>
      <c r="J58" s="46">
        <v>9.4021173755261644E-2</v>
      </c>
    </row>
    <row r="59" spans="1:10" ht="11.25" customHeight="1" x14ac:dyDescent="0.2">
      <c r="A59" s="55">
        <v>44593</v>
      </c>
      <c r="B59" s="45">
        <v>64891.359999999993</v>
      </c>
      <c r="C59" s="45">
        <v>70992.521833775245</v>
      </c>
      <c r="D59" s="45">
        <v>0</v>
      </c>
      <c r="E59" s="45">
        <v>0</v>
      </c>
      <c r="F59" s="45">
        <v>0</v>
      </c>
      <c r="G59" s="45">
        <v>0</v>
      </c>
      <c r="H59" s="46">
        <v>9.4021173755261866E-2</v>
      </c>
      <c r="I59" s="46">
        <v>0</v>
      </c>
      <c r="J59" s="46">
        <v>9.4021173755261866E-2</v>
      </c>
    </row>
    <row r="60" spans="1:10" ht="11.25" customHeight="1" x14ac:dyDescent="0.2">
      <c r="A60" s="55">
        <v>44621</v>
      </c>
      <c r="B60" s="45">
        <v>64305.2</v>
      </c>
      <c r="C60" s="45">
        <v>70351.250382566868</v>
      </c>
      <c r="D60" s="45">
        <v>0</v>
      </c>
      <c r="E60" s="45">
        <v>0</v>
      </c>
      <c r="F60" s="45">
        <v>0</v>
      </c>
      <c r="G60" s="45">
        <v>0</v>
      </c>
      <c r="H60" s="46">
        <v>9.4021173755261866E-2</v>
      </c>
      <c r="I60" s="46">
        <v>0</v>
      </c>
      <c r="J60" s="46">
        <v>9.4021173755261866E-2</v>
      </c>
    </row>
    <row r="61" spans="1:10" ht="11.25" customHeight="1" x14ac:dyDescent="0.2">
      <c r="A61" s="55">
        <v>44652</v>
      </c>
      <c r="B61" s="45">
        <v>64994.799999999996</v>
      </c>
      <c r="C61" s="45">
        <v>71105.687383988494</v>
      </c>
      <c r="D61" s="45">
        <v>0</v>
      </c>
      <c r="E61" s="45">
        <v>0</v>
      </c>
      <c r="F61" s="45">
        <v>0</v>
      </c>
      <c r="G61" s="45">
        <v>0</v>
      </c>
      <c r="H61" s="46">
        <v>9.4021173755261866E-2</v>
      </c>
      <c r="I61" s="46">
        <v>0</v>
      </c>
      <c r="J61" s="46">
        <v>9.4021173755261866E-2</v>
      </c>
    </row>
    <row r="62" spans="1:10" ht="11.25" customHeight="1" x14ac:dyDescent="0.2">
      <c r="A62" s="55">
        <v>44682</v>
      </c>
      <c r="B62" s="45">
        <v>63891.439999999995</v>
      </c>
      <c r="C62" s="45">
        <v>69898.588181713887</v>
      </c>
      <c r="D62" s="45">
        <v>0</v>
      </c>
      <c r="E62" s="45">
        <v>0</v>
      </c>
      <c r="F62" s="45">
        <v>0</v>
      </c>
      <c r="G62" s="45">
        <v>0</v>
      </c>
      <c r="H62" s="46">
        <v>9.4021173755261866E-2</v>
      </c>
      <c r="I62" s="46">
        <v>0</v>
      </c>
      <c r="J62" s="46">
        <v>9.4021173755261866E-2</v>
      </c>
    </row>
    <row r="63" spans="1:10" ht="11.25" customHeight="1" x14ac:dyDescent="0.2">
      <c r="A63" s="55">
        <v>44713</v>
      </c>
      <c r="B63" s="45">
        <v>63994.879999999997</v>
      </c>
      <c r="C63" s="45">
        <v>70011.753731927121</v>
      </c>
      <c r="D63" s="45">
        <v>0</v>
      </c>
      <c r="E63" s="45">
        <v>0</v>
      </c>
      <c r="F63" s="45">
        <v>0</v>
      </c>
      <c r="G63" s="45">
        <v>0</v>
      </c>
      <c r="H63" s="46">
        <v>9.4021173755261644E-2</v>
      </c>
      <c r="I63" s="46">
        <v>0</v>
      </c>
      <c r="J63" s="46">
        <v>9.4021173755261644E-2</v>
      </c>
    </row>
    <row r="64" spans="1:10" ht="11.25" customHeight="1" x14ac:dyDescent="0.2">
      <c r="A64" s="55">
        <v>44743</v>
      </c>
      <c r="B64" s="45">
        <v>65822.319999999992</v>
      </c>
      <c r="C64" s="45">
        <v>72011.011785694442</v>
      </c>
      <c r="D64" s="45">
        <v>0</v>
      </c>
      <c r="E64" s="45">
        <v>0</v>
      </c>
      <c r="F64" s="45">
        <v>0</v>
      </c>
      <c r="G64" s="45">
        <v>0</v>
      </c>
      <c r="H64" s="46">
        <v>9.4021173755261866E-2</v>
      </c>
      <c r="I64" s="46">
        <v>0</v>
      </c>
      <c r="J64" s="46">
        <v>9.4021173755261866E-2</v>
      </c>
    </row>
    <row r="65" spans="1:10" ht="11.25" customHeight="1" x14ac:dyDescent="0.2">
      <c r="A65" s="55">
        <v>44774</v>
      </c>
      <c r="B65" s="45">
        <v>65822.319999999992</v>
      </c>
      <c r="C65" s="45">
        <v>72011.011785694442</v>
      </c>
      <c r="D65" s="45">
        <v>0</v>
      </c>
      <c r="E65" s="45">
        <v>0</v>
      </c>
      <c r="F65" s="45">
        <v>0</v>
      </c>
      <c r="G65" s="45">
        <v>0</v>
      </c>
      <c r="H65" s="46">
        <v>9.4021173755261866E-2</v>
      </c>
      <c r="I65" s="46">
        <v>0</v>
      </c>
      <c r="J65" s="46">
        <v>9.4021173755261866E-2</v>
      </c>
    </row>
    <row r="66" spans="1:10" ht="11.25" customHeight="1" x14ac:dyDescent="0.2">
      <c r="A66" s="54" t="s">
        <v>37</v>
      </c>
      <c r="B66" s="45">
        <v>0</v>
      </c>
      <c r="C66" s="45">
        <v>0</v>
      </c>
      <c r="D66" s="45">
        <v>235510.10848</v>
      </c>
      <c r="E66" s="45">
        <v>231155.67790579263</v>
      </c>
      <c r="F66" s="45">
        <v>13223.33078</v>
      </c>
      <c r="G66" s="45">
        <v>12023.203693533103</v>
      </c>
      <c r="H66" s="46">
        <v>-1.8489357430605313E-2</v>
      </c>
      <c r="I66" s="46">
        <v>-9.0758304880496743E-2</v>
      </c>
      <c r="J66" s="46">
        <v>-2.2331366772394778E-2</v>
      </c>
    </row>
    <row r="67" spans="1:10" ht="11.25" customHeight="1" x14ac:dyDescent="0.2">
      <c r="A67" s="55">
        <v>44440</v>
      </c>
      <c r="B67" s="45">
        <v>0</v>
      </c>
      <c r="C67" s="45">
        <v>0</v>
      </c>
      <c r="D67" s="45">
        <v>18125.631679999999</v>
      </c>
      <c r="E67" s="45">
        <v>17790.500397212974</v>
      </c>
      <c r="F67" s="45">
        <v>1017.7109799999998</v>
      </c>
      <c r="G67" s="45">
        <v>925.34525659693088</v>
      </c>
      <c r="H67" s="46">
        <v>-1.8489357430605424E-2</v>
      </c>
      <c r="I67" s="46">
        <v>-9.0758304880496632E-2</v>
      </c>
      <c r="J67" s="46">
        <v>-2.2331366772394889E-2</v>
      </c>
    </row>
    <row r="68" spans="1:10" ht="11.25" customHeight="1" x14ac:dyDescent="0.2">
      <c r="A68" s="55">
        <v>44470</v>
      </c>
      <c r="B68" s="45">
        <v>0</v>
      </c>
      <c r="C68" s="45">
        <v>0</v>
      </c>
      <c r="D68" s="45">
        <v>17290.669760000001</v>
      </c>
      <c r="E68" s="45">
        <v>16970.9763865928</v>
      </c>
      <c r="F68" s="45">
        <v>970.82985999999994</v>
      </c>
      <c r="G68" s="45">
        <v>882.71898757903011</v>
      </c>
      <c r="H68" s="46">
        <v>-1.8489357430605424E-2</v>
      </c>
      <c r="I68" s="46">
        <v>-9.0758304880496632E-2</v>
      </c>
      <c r="J68" s="46">
        <v>-2.2331366772394889E-2</v>
      </c>
    </row>
    <row r="69" spans="1:10" ht="11.25" customHeight="1" x14ac:dyDescent="0.2">
      <c r="A69" s="55">
        <v>44501</v>
      </c>
      <c r="B69" s="45">
        <v>0</v>
      </c>
      <c r="C69" s="45">
        <v>0</v>
      </c>
      <c r="D69" s="45">
        <v>17716.179199999999</v>
      </c>
      <c r="E69" s="45">
        <v>17388.618430466544</v>
      </c>
      <c r="F69" s="45">
        <v>994.72119999999995</v>
      </c>
      <c r="G69" s="45">
        <v>904.44199005930648</v>
      </c>
      <c r="H69" s="46">
        <v>-1.8489357430605313E-2</v>
      </c>
      <c r="I69" s="46">
        <v>-9.0758304880496632E-2</v>
      </c>
      <c r="J69" s="46">
        <v>-2.2331366772394778E-2</v>
      </c>
    </row>
    <row r="70" spans="1:10" ht="11.25" customHeight="1" x14ac:dyDescent="0.2">
      <c r="A70" s="55">
        <v>44531</v>
      </c>
      <c r="B70" s="45">
        <v>0</v>
      </c>
      <c r="C70" s="45">
        <v>0</v>
      </c>
      <c r="D70" s="45">
        <v>20172.894079999998</v>
      </c>
      <c r="E70" s="45">
        <v>19799.910230945137</v>
      </c>
      <c r="F70" s="45">
        <v>1132.6598799999999</v>
      </c>
      <c r="G70" s="45">
        <v>1029.8615892850532</v>
      </c>
      <c r="H70" s="46">
        <v>-1.8489357430605313E-2</v>
      </c>
      <c r="I70" s="46">
        <v>-9.0758304880496632E-2</v>
      </c>
      <c r="J70" s="46">
        <v>-2.2331366772394667E-2</v>
      </c>
    </row>
    <row r="71" spans="1:10" ht="11.25" customHeight="1" x14ac:dyDescent="0.2">
      <c r="A71" s="55">
        <v>44562</v>
      </c>
      <c r="B71" s="45">
        <v>0</v>
      </c>
      <c r="C71" s="45">
        <v>0</v>
      </c>
      <c r="D71" s="45">
        <v>24390.522240000002</v>
      </c>
      <c r="E71" s="45">
        <v>23939.557156385512</v>
      </c>
      <c r="F71" s="45">
        <v>1369.46964</v>
      </c>
      <c r="G71" s="45">
        <v>1245.1788968882961</v>
      </c>
      <c r="H71" s="46">
        <v>-1.8489357430605424E-2</v>
      </c>
      <c r="I71" s="46">
        <v>-9.0758304880496632E-2</v>
      </c>
      <c r="J71" s="46">
        <v>-2.2331366772394778E-2</v>
      </c>
    </row>
    <row r="72" spans="1:10" ht="11.25" customHeight="1" x14ac:dyDescent="0.2">
      <c r="A72" s="55">
        <v>44593</v>
      </c>
      <c r="B72" s="45">
        <v>0</v>
      </c>
      <c r="C72" s="45">
        <v>0</v>
      </c>
      <c r="D72" s="45">
        <v>22447.630079999999</v>
      </c>
      <c r="E72" s="45">
        <v>22032.58782398087</v>
      </c>
      <c r="F72" s="45">
        <v>1260.3808799999999</v>
      </c>
      <c r="G72" s="45">
        <v>1145.9908478274112</v>
      </c>
      <c r="H72" s="46">
        <v>-1.8489357430605424E-2</v>
      </c>
      <c r="I72" s="46">
        <v>-9.0758304880496632E-2</v>
      </c>
      <c r="J72" s="46">
        <v>-2.2331366772394889E-2</v>
      </c>
    </row>
    <row r="73" spans="1:10" ht="11.25" customHeight="1" x14ac:dyDescent="0.2">
      <c r="A73" s="55">
        <v>44621</v>
      </c>
      <c r="B73" s="45">
        <v>0</v>
      </c>
      <c r="C73" s="45">
        <v>0</v>
      </c>
      <c r="D73" s="45">
        <v>20253.178879999999</v>
      </c>
      <c r="E73" s="45">
        <v>19878.710616581691</v>
      </c>
      <c r="F73" s="45">
        <v>1137.1676799999998</v>
      </c>
      <c r="G73" s="45">
        <v>1033.9602689983128</v>
      </c>
      <c r="H73" s="46">
        <v>-1.8489357430605424E-2</v>
      </c>
      <c r="I73" s="46">
        <v>-9.0758304880496632E-2</v>
      </c>
      <c r="J73" s="46">
        <v>-2.2331366772394889E-2</v>
      </c>
    </row>
    <row r="74" spans="1:10" ht="11.25" customHeight="1" x14ac:dyDescent="0.2">
      <c r="A74" s="55">
        <v>44652</v>
      </c>
      <c r="B74" s="45">
        <v>0</v>
      </c>
      <c r="C74" s="45">
        <v>0</v>
      </c>
      <c r="D74" s="45">
        <v>21866.903359999997</v>
      </c>
      <c r="E74" s="45">
        <v>21462.598367876453</v>
      </c>
      <c r="F74" s="45">
        <v>1227.7744599999999</v>
      </c>
      <c r="G74" s="45">
        <v>1116.3437312348328</v>
      </c>
      <c r="H74" s="46">
        <v>-1.8489357430605313E-2</v>
      </c>
      <c r="I74" s="46">
        <v>-9.0758304880496521E-2</v>
      </c>
      <c r="J74" s="46">
        <v>-2.2331366772394778E-2</v>
      </c>
    </row>
    <row r="75" spans="1:10" ht="11.25" customHeight="1" x14ac:dyDescent="0.2">
      <c r="A75" s="55">
        <v>44682</v>
      </c>
      <c r="B75" s="45">
        <v>0</v>
      </c>
      <c r="C75" s="45">
        <v>0</v>
      </c>
      <c r="D75" s="45">
        <v>17713.50304</v>
      </c>
      <c r="E75" s="45">
        <v>17385.991750945326</v>
      </c>
      <c r="F75" s="45">
        <v>994.57093999999995</v>
      </c>
      <c r="G75" s="45">
        <v>904.30536740219782</v>
      </c>
      <c r="H75" s="46">
        <v>-1.8489357430605313E-2</v>
      </c>
      <c r="I75" s="46">
        <v>-9.0758304880496632E-2</v>
      </c>
      <c r="J75" s="46">
        <v>-2.2331366772394889E-2</v>
      </c>
    </row>
    <row r="76" spans="1:10" ht="11.25" customHeight="1" x14ac:dyDescent="0.2">
      <c r="A76" s="55">
        <v>44713</v>
      </c>
      <c r="B76" s="45">
        <v>0</v>
      </c>
      <c r="C76" s="45">
        <v>0</v>
      </c>
      <c r="D76" s="45">
        <v>18366.486079999999</v>
      </c>
      <c r="E76" s="45">
        <v>18026.901554122644</v>
      </c>
      <c r="F76" s="45">
        <v>1031.2343800000001</v>
      </c>
      <c r="G76" s="45">
        <v>937.64129573671005</v>
      </c>
      <c r="H76" s="46">
        <v>-1.8489357430605202E-2</v>
      </c>
      <c r="I76" s="46">
        <v>-9.0758304880496743E-2</v>
      </c>
      <c r="J76" s="46">
        <v>-2.2331366772394778E-2</v>
      </c>
    </row>
    <row r="77" spans="1:10" ht="11.25" customHeight="1" x14ac:dyDescent="0.2">
      <c r="A77" s="55">
        <v>44743</v>
      </c>
      <c r="B77" s="45">
        <v>0</v>
      </c>
      <c r="C77" s="45">
        <v>0</v>
      </c>
      <c r="D77" s="45">
        <v>18583.25504</v>
      </c>
      <c r="E77" s="45">
        <v>18239.662595341342</v>
      </c>
      <c r="F77" s="45">
        <v>1043.40544</v>
      </c>
      <c r="G77" s="45">
        <v>948.70773096251116</v>
      </c>
      <c r="H77" s="46">
        <v>-1.8489357430605313E-2</v>
      </c>
      <c r="I77" s="46">
        <v>-9.0758304880496743E-2</v>
      </c>
      <c r="J77" s="46">
        <v>-2.2331366772394667E-2</v>
      </c>
    </row>
    <row r="78" spans="1:10" ht="11.25" customHeight="1" x14ac:dyDescent="0.2">
      <c r="A78" s="55">
        <v>44774</v>
      </c>
      <c r="B78" s="45">
        <v>0</v>
      </c>
      <c r="C78" s="45">
        <v>0</v>
      </c>
      <c r="D78" s="45">
        <v>18583.25504</v>
      </c>
      <c r="E78" s="45">
        <v>18239.662595341342</v>
      </c>
      <c r="F78" s="45">
        <v>1043.40544</v>
      </c>
      <c r="G78" s="45">
        <v>948.70773096251116</v>
      </c>
      <c r="H78" s="46">
        <v>-1.8489357430605313E-2</v>
      </c>
      <c r="I78" s="46">
        <v>-9.0758304880496743E-2</v>
      </c>
      <c r="J78" s="46">
        <v>-2.2331366772394667E-2</v>
      </c>
    </row>
    <row r="79" spans="1:10" ht="11.25" customHeight="1" x14ac:dyDescent="0.2">
      <c r="A79" s="50" t="s">
        <v>34</v>
      </c>
      <c r="B79" s="45">
        <v>8939422.7199999988</v>
      </c>
      <c r="C79" s="45">
        <v>9779917.7368288562</v>
      </c>
      <c r="D79" s="45">
        <v>6925533.658499999</v>
      </c>
      <c r="E79" s="45">
        <v>9170374.8974681608</v>
      </c>
      <c r="F79" s="45">
        <v>10274399.092979999</v>
      </c>
      <c r="G79" s="45">
        <v>9341912.0476354193</v>
      </c>
      <c r="H79" s="46">
        <v>0.19447492840120417</v>
      </c>
      <c r="I79" s="46">
        <v>-9.075830488049641E-2</v>
      </c>
      <c r="J79" s="46">
        <v>8.2360455015861422E-2</v>
      </c>
    </row>
    <row r="80" spans="1:10" ht="11.25" customHeight="1" x14ac:dyDescent="0.2">
      <c r="A80" s="51" t="s">
        <v>25</v>
      </c>
      <c r="B80" s="45">
        <v>8939422.7199999988</v>
      </c>
      <c r="C80" s="45">
        <v>9779917.7368288562</v>
      </c>
      <c r="D80" s="45">
        <v>6925533.658499999</v>
      </c>
      <c r="E80" s="45">
        <v>9170374.8974681608</v>
      </c>
      <c r="F80" s="45">
        <v>10274399.092979999</v>
      </c>
      <c r="G80" s="45">
        <v>9341912.0476354193</v>
      </c>
      <c r="H80" s="46">
        <v>0.19447492840120417</v>
      </c>
      <c r="I80" s="46">
        <v>-9.075830488049641E-2</v>
      </c>
      <c r="J80" s="46">
        <v>8.2360455015861422E-2</v>
      </c>
    </row>
    <row r="81" spans="1:10" ht="11.25" customHeight="1" x14ac:dyDescent="0.2">
      <c r="A81" s="52" t="s">
        <v>25</v>
      </c>
      <c r="B81" s="45">
        <v>8939422.7199999988</v>
      </c>
      <c r="C81" s="45">
        <v>9779917.7368288562</v>
      </c>
      <c r="D81" s="45">
        <v>6925533.658499999</v>
      </c>
      <c r="E81" s="45">
        <v>9170374.8974681608</v>
      </c>
      <c r="F81" s="45">
        <v>10274399.092979999</v>
      </c>
      <c r="G81" s="45">
        <v>9341912.0476354193</v>
      </c>
      <c r="H81" s="46">
        <v>0.19447492840120417</v>
      </c>
      <c r="I81" s="46">
        <v>-9.075830488049641E-2</v>
      </c>
      <c r="J81" s="46">
        <v>8.2360455015861422E-2</v>
      </c>
    </row>
    <row r="82" spans="1:10" ht="11.25" customHeight="1" x14ac:dyDescent="0.2">
      <c r="A82" s="53" t="s">
        <v>25</v>
      </c>
      <c r="B82" s="45">
        <v>8939422.7199999988</v>
      </c>
      <c r="C82" s="45">
        <v>9779917.7368288562</v>
      </c>
      <c r="D82" s="45">
        <v>6925533.658499999</v>
      </c>
      <c r="E82" s="45">
        <v>9170374.8974681608</v>
      </c>
      <c r="F82" s="45">
        <v>10274399.092979999</v>
      </c>
      <c r="G82" s="45">
        <v>9341912.0476354193</v>
      </c>
      <c r="H82" s="46">
        <v>0.19447492840120417</v>
      </c>
      <c r="I82" s="46">
        <v>-9.075830488049641E-2</v>
      </c>
      <c r="J82" s="46">
        <v>8.2360455015861422E-2</v>
      </c>
    </row>
    <row r="83" spans="1:10" ht="11.25" customHeight="1" x14ac:dyDescent="0.2">
      <c r="A83" s="54" t="s">
        <v>38</v>
      </c>
      <c r="B83" s="45">
        <v>0</v>
      </c>
      <c r="C83" s="45">
        <v>0</v>
      </c>
      <c r="D83" s="45">
        <v>4064070.9877800001</v>
      </c>
      <c r="E83" s="45">
        <v>6361818.8328414364</v>
      </c>
      <c r="F83" s="45">
        <v>10113734.790059999</v>
      </c>
      <c r="G83" s="45">
        <v>9195829.3645032477</v>
      </c>
      <c r="H83" s="46">
        <v>0.565380834136606</v>
      </c>
      <c r="I83" s="46">
        <v>-9.0758304880496632E-2</v>
      </c>
      <c r="J83" s="46">
        <v>9.732411637782401E-2</v>
      </c>
    </row>
    <row r="84" spans="1:10" ht="11.25" customHeight="1" x14ac:dyDescent="0.2">
      <c r="A84" s="55">
        <v>44440</v>
      </c>
      <c r="B84" s="45">
        <v>0</v>
      </c>
      <c r="C84" s="45">
        <v>0</v>
      </c>
      <c r="D84" s="45">
        <v>339571.86694000004</v>
      </c>
      <c r="E84" s="45">
        <v>531559.29231986171</v>
      </c>
      <c r="F84" s="45">
        <v>845049.16738</v>
      </c>
      <c r="G84" s="45">
        <v>768353.93740791618</v>
      </c>
      <c r="H84" s="46">
        <v>0.56538083413660556</v>
      </c>
      <c r="I84" s="46">
        <v>-9.0758304880496521E-2</v>
      </c>
      <c r="J84" s="46">
        <v>9.7324116377823788E-2</v>
      </c>
    </row>
    <row r="85" spans="1:10" ht="11.25" customHeight="1" x14ac:dyDescent="0.2">
      <c r="A85" s="55">
        <v>44470</v>
      </c>
      <c r="B85" s="45">
        <v>0</v>
      </c>
      <c r="C85" s="45">
        <v>0</v>
      </c>
      <c r="D85" s="45">
        <v>339716.17514000001</v>
      </c>
      <c r="E85" s="45">
        <v>531785.18961035041</v>
      </c>
      <c r="F85" s="45">
        <v>845408.28877999994</v>
      </c>
      <c r="G85" s="45">
        <v>768680.46555840573</v>
      </c>
      <c r="H85" s="46">
        <v>0.56538083413660556</v>
      </c>
      <c r="I85" s="46">
        <v>-9.0758304880496632E-2</v>
      </c>
      <c r="J85" s="46">
        <v>9.7324116377823788E-2</v>
      </c>
    </row>
    <row r="86" spans="1:10" ht="11.25" customHeight="1" x14ac:dyDescent="0.2">
      <c r="A86" s="55">
        <v>44501</v>
      </c>
      <c r="B86" s="45">
        <v>0</v>
      </c>
      <c r="C86" s="45">
        <v>0</v>
      </c>
      <c r="D86" s="45">
        <v>339994.04390000005</v>
      </c>
      <c r="E86" s="45">
        <v>532220.16004165972</v>
      </c>
      <c r="F86" s="45">
        <v>846099.78529999999</v>
      </c>
      <c r="G86" s="45">
        <v>769309.20302641985</v>
      </c>
      <c r="H86" s="46">
        <v>0.56538083413660534</v>
      </c>
      <c r="I86" s="46">
        <v>-9.0758304880496632E-2</v>
      </c>
      <c r="J86" s="46">
        <v>9.7324116377823788E-2</v>
      </c>
    </row>
    <row r="87" spans="1:10" ht="11.25" customHeight="1" x14ac:dyDescent="0.2">
      <c r="A87" s="55">
        <v>44531</v>
      </c>
      <c r="B87" s="45">
        <v>0</v>
      </c>
      <c r="C87" s="45">
        <v>0</v>
      </c>
      <c r="D87" s="45">
        <v>336058.95854000002</v>
      </c>
      <c r="E87" s="45">
        <v>526060.25283842429</v>
      </c>
      <c r="F87" s="45">
        <v>836307.04058000003</v>
      </c>
      <c r="G87" s="45">
        <v>760405.23121733451</v>
      </c>
      <c r="H87" s="46">
        <v>0.565380834136606</v>
      </c>
      <c r="I87" s="46">
        <v>-9.0758304880496632E-2</v>
      </c>
      <c r="J87" s="46">
        <v>9.732411637782401E-2</v>
      </c>
    </row>
    <row r="88" spans="1:10" ht="11.25" customHeight="1" x14ac:dyDescent="0.2">
      <c r="A88" s="55">
        <v>44562</v>
      </c>
      <c r="B88" s="45">
        <v>0</v>
      </c>
      <c r="C88" s="45">
        <v>0</v>
      </c>
      <c r="D88" s="45">
        <v>299444.34539999999</v>
      </c>
      <c r="E88" s="45">
        <v>468744.43917974189</v>
      </c>
      <c r="F88" s="45">
        <v>745188.92579999997</v>
      </c>
      <c r="G88" s="45">
        <v>677556.84207867377</v>
      </c>
      <c r="H88" s="46">
        <v>0.56538083413660578</v>
      </c>
      <c r="I88" s="46">
        <v>-9.0758304880496632E-2</v>
      </c>
      <c r="J88" s="46">
        <v>9.732411637782401E-2</v>
      </c>
    </row>
    <row r="89" spans="1:10" ht="11.25" customHeight="1" x14ac:dyDescent="0.2">
      <c r="A89" s="55">
        <v>44593</v>
      </c>
      <c r="B89" s="45">
        <v>0</v>
      </c>
      <c r="C89" s="45">
        <v>0</v>
      </c>
      <c r="D89" s="45">
        <v>307471.92678000004</v>
      </c>
      <c r="E89" s="45">
        <v>481310.66121646576</v>
      </c>
      <c r="F89" s="45">
        <v>765166.14305999991</v>
      </c>
      <c r="G89" s="45">
        <v>695720.96096392674</v>
      </c>
      <c r="H89" s="46">
        <v>0.56538083413660556</v>
      </c>
      <c r="I89" s="46">
        <v>-9.0758304880496632E-2</v>
      </c>
      <c r="J89" s="46">
        <v>9.7324116377823788E-2</v>
      </c>
    </row>
    <row r="90" spans="1:10" ht="11.25" customHeight="1" x14ac:dyDescent="0.2">
      <c r="A90" s="55">
        <v>44621</v>
      </c>
      <c r="B90" s="45">
        <v>0</v>
      </c>
      <c r="C90" s="45">
        <v>0</v>
      </c>
      <c r="D90" s="45">
        <v>318713.17328000005</v>
      </c>
      <c r="E90" s="45">
        <v>498907.49303937098</v>
      </c>
      <c r="F90" s="45">
        <v>793140.79855999991</v>
      </c>
      <c r="G90" s="45">
        <v>721156.68415113096</v>
      </c>
      <c r="H90" s="46">
        <v>0.56538083413660556</v>
      </c>
      <c r="I90" s="46">
        <v>-9.0758304880496521E-2</v>
      </c>
      <c r="J90" s="46">
        <v>9.732411637782401E-2</v>
      </c>
    </row>
    <row r="91" spans="1:10" ht="11.25" customHeight="1" x14ac:dyDescent="0.2">
      <c r="A91" s="55">
        <v>44652</v>
      </c>
      <c r="B91" s="45">
        <v>0</v>
      </c>
      <c r="C91" s="45">
        <v>0</v>
      </c>
      <c r="D91" s="45">
        <v>359405.85162000003</v>
      </c>
      <c r="E91" s="45">
        <v>562607.0318024928</v>
      </c>
      <c r="F91" s="45">
        <v>894407.47373999993</v>
      </c>
      <c r="G91" s="45">
        <v>813232.56755091029</v>
      </c>
      <c r="H91" s="46">
        <v>0.56538083413660578</v>
      </c>
      <c r="I91" s="46">
        <v>-9.0758304880496521E-2</v>
      </c>
      <c r="J91" s="46">
        <v>9.732411637782401E-2</v>
      </c>
    </row>
    <row r="92" spans="1:10" ht="11.25" customHeight="1" x14ac:dyDescent="0.2">
      <c r="A92" s="55">
        <v>44682</v>
      </c>
      <c r="B92" s="45">
        <v>0</v>
      </c>
      <c r="C92" s="45">
        <v>0</v>
      </c>
      <c r="D92" s="45">
        <v>357232.65466</v>
      </c>
      <c r="E92" s="45">
        <v>559205.1509325048</v>
      </c>
      <c r="F92" s="45">
        <v>888999.3158199999</v>
      </c>
      <c r="G92" s="45">
        <v>808315.24487625551</v>
      </c>
      <c r="H92" s="46">
        <v>0.56538083413660578</v>
      </c>
      <c r="I92" s="46">
        <v>-9.0758304880496521E-2</v>
      </c>
      <c r="J92" s="46">
        <v>9.732411637782401E-2</v>
      </c>
    </row>
    <row r="93" spans="1:10" ht="11.25" customHeight="1" x14ac:dyDescent="0.2">
      <c r="A93" s="55">
        <v>44713</v>
      </c>
      <c r="B93" s="45">
        <v>0</v>
      </c>
      <c r="C93" s="45">
        <v>0</v>
      </c>
      <c r="D93" s="45">
        <v>364881.89496000006</v>
      </c>
      <c r="E93" s="45">
        <v>571179.12509383017</v>
      </c>
      <c r="F93" s="45">
        <v>908035.00391999993</v>
      </c>
      <c r="G93" s="45">
        <v>825623.28619206557</v>
      </c>
      <c r="H93" s="46">
        <v>0.56538083413660556</v>
      </c>
      <c r="I93" s="46">
        <v>-9.0758304880496743E-2</v>
      </c>
      <c r="J93" s="46">
        <v>9.732411637782401E-2</v>
      </c>
    </row>
    <row r="94" spans="1:10" ht="11.25" customHeight="1" x14ac:dyDescent="0.2">
      <c r="A94" s="55">
        <v>44743</v>
      </c>
      <c r="B94" s="45">
        <v>0</v>
      </c>
      <c r="C94" s="45">
        <v>0</v>
      </c>
      <c r="D94" s="45">
        <v>350790.04827999999</v>
      </c>
      <c r="E94" s="45">
        <v>549120.01838336664</v>
      </c>
      <c r="F94" s="45">
        <v>872966.42355999979</v>
      </c>
      <c r="G94" s="45">
        <v>793737.47074010468</v>
      </c>
      <c r="H94" s="46">
        <v>0.565380834136606</v>
      </c>
      <c r="I94" s="46">
        <v>-9.0758304880496521E-2</v>
      </c>
      <c r="J94" s="46">
        <v>9.732411637782401E-2</v>
      </c>
    </row>
    <row r="95" spans="1:10" ht="11.25" customHeight="1" x14ac:dyDescent="0.2">
      <c r="A95" s="55">
        <v>44774</v>
      </c>
      <c r="B95" s="45">
        <v>0</v>
      </c>
      <c r="C95" s="45">
        <v>0</v>
      </c>
      <c r="D95" s="45">
        <v>350790.04827999999</v>
      </c>
      <c r="E95" s="45">
        <v>549120.01838336664</v>
      </c>
      <c r="F95" s="45">
        <v>872966.42355999979</v>
      </c>
      <c r="G95" s="45">
        <v>793737.47074010468</v>
      </c>
      <c r="H95" s="46">
        <v>0.565380834136606</v>
      </c>
      <c r="I95" s="46">
        <v>-9.0758304880496521E-2</v>
      </c>
      <c r="J95" s="46">
        <v>9.732411637782401E-2</v>
      </c>
    </row>
    <row r="96" spans="1:10" ht="11.25" customHeight="1" x14ac:dyDescent="0.2">
      <c r="A96" s="54" t="s">
        <v>25</v>
      </c>
      <c r="B96" s="45">
        <v>8939422.7199999988</v>
      </c>
      <c r="C96" s="45">
        <v>9779917.7368288562</v>
      </c>
      <c r="D96" s="45">
        <v>0</v>
      </c>
      <c r="E96" s="45">
        <v>0</v>
      </c>
      <c r="F96" s="45">
        <v>0</v>
      </c>
      <c r="G96" s="45">
        <v>0</v>
      </c>
      <c r="H96" s="46">
        <v>9.4021173755261866E-2</v>
      </c>
      <c r="I96" s="46">
        <v>0</v>
      </c>
      <c r="J96" s="46">
        <v>9.4021173755261866E-2</v>
      </c>
    </row>
    <row r="97" spans="1:10" ht="11.25" customHeight="1" x14ac:dyDescent="0.2">
      <c r="A97" s="55">
        <v>44440</v>
      </c>
      <c r="B97" s="45">
        <v>740975.2</v>
      </c>
      <c r="C97" s="45">
        <v>810642.55802753987</v>
      </c>
      <c r="D97" s="45">
        <v>0</v>
      </c>
      <c r="E97" s="45">
        <v>0</v>
      </c>
      <c r="F97" s="45">
        <v>0</v>
      </c>
      <c r="G97" s="45">
        <v>0</v>
      </c>
      <c r="H97" s="46">
        <v>9.4021173755261866E-2</v>
      </c>
      <c r="I97" s="46">
        <v>0</v>
      </c>
      <c r="J97" s="46">
        <v>9.4021173755261866E-2</v>
      </c>
    </row>
    <row r="98" spans="1:10" ht="11.25" customHeight="1" x14ac:dyDescent="0.2">
      <c r="A98" s="55">
        <v>44470</v>
      </c>
      <c r="B98" s="45">
        <v>737285.84</v>
      </c>
      <c r="C98" s="45">
        <v>806606.32006993413</v>
      </c>
      <c r="D98" s="45">
        <v>0</v>
      </c>
      <c r="E98" s="45">
        <v>0</v>
      </c>
      <c r="F98" s="45">
        <v>0</v>
      </c>
      <c r="G98" s="45">
        <v>0</v>
      </c>
      <c r="H98" s="46">
        <v>9.4021173755261866E-2</v>
      </c>
      <c r="I98" s="46">
        <v>0</v>
      </c>
      <c r="J98" s="46">
        <v>9.4021173755261866E-2</v>
      </c>
    </row>
    <row r="99" spans="1:10" ht="11.25" customHeight="1" x14ac:dyDescent="0.2">
      <c r="A99" s="55">
        <v>44501</v>
      </c>
      <c r="B99" s="45">
        <v>733699.91999999993</v>
      </c>
      <c r="C99" s="45">
        <v>802683.24766254169</v>
      </c>
      <c r="D99" s="45">
        <v>0</v>
      </c>
      <c r="E99" s="45">
        <v>0</v>
      </c>
      <c r="F99" s="45">
        <v>0</v>
      </c>
      <c r="G99" s="45">
        <v>0</v>
      </c>
      <c r="H99" s="46">
        <v>9.4021173755261866E-2</v>
      </c>
      <c r="I99" s="46">
        <v>0</v>
      </c>
      <c r="J99" s="46">
        <v>9.4021173755261866E-2</v>
      </c>
    </row>
    <row r="100" spans="1:10" ht="11.25" customHeight="1" x14ac:dyDescent="0.2">
      <c r="A100" s="55">
        <v>44531</v>
      </c>
      <c r="B100" s="45">
        <v>739664.96</v>
      </c>
      <c r="C100" s="45">
        <v>809209.12772483879</v>
      </c>
      <c r="D100" s="45">
        <v>0</v>
      </c>
      <c r="E100" s="45">
        <v>0</v>
      </c>
      <c r="F100" s="45">
        <v>0</v>
      </c>
      <c r="G100" s="45">
        <v>0</v>
      </c>
      <c r="H100" s="46">
        <v>9.4021173755261866E-2</v>
      </c>
      <c r="I100" s="46">
        <v>0</v>
      </c>
      <c r="J100" s="46">
        <v>9.4021173755261866E-2</v>
      </c>
    </row>
    <row r="101" spans="1:10" ht="11.25" customHeight="1" x14ac:dyDescent="0.2">
      <c r="A101" s="55">
        <v>44562</v>
      </c>
      <c r="B101" s="45">
        <v>740630.39999999991</v>
      </c>
      <c r="C101" s="45">
        <v>810265.33952682908</v>
      </c>
      <c r="D101" s="45">
        <v>0</v>
      </c>
      <c r="E101" s="45">
        <v>0</v>
      </c>
      <c r="F101" s="45">
        <v>0</v>
      </c>
      <c r="G101" s="45">
        <v>0</v>
      </c>
      <c r="H101" s="46">
        <v>9.4021173755261866E-2</v>
      </c>
      <c r="I101" s="46">
        <v>0</v>
      </c>
      <c r="J101" s="46">
        <v>9.4021173755261866E-2</v>
      </c>
    </row>
    <row r="102" spans="1:10" ht="11.25" customHeight="1" x14ac:dyDescent="0.2">
      <c r="A102" s="55">
        <v>44593</v>
      </c>
      <c r="B102" s="45">
        <v>739320.15999999992</v>
      </c>
      <c r="C102" s="45">
        <v>808831.909224128</v>
      </c>
      <c r="D102" s="45">
        <v>0</v>
      </c>
      <c r="E102" s="45">
        <v>0</v>
      </c>
      <c r="F102" s="45">
        <v>0</v>
      </c>
      <c r="G102" s="45">
        <v>0</v>
      </c>
      <c r="H102" s="46">
        <v>9.4021173755262089E-2</v>
      </c>
      <c r="I102" s="46">
        <v>0</v>
      </c>
      <c r="J102" s="46">
        <v>9.4021173755262089E-2</v>
      </c>
    </row>
    <row r="103" spans="1:10" ht="11.25" customHeight="1" x14ac:dyDescent="0.2">
      <c r="A103" s="55">
        <v>44621</v>
      </c>
      <c r="B103" s="45">
        <v>738354.72</v>
      </c>
      <c r="C103" s="45">
        <v>807775.69742213772</v>
      </c>
      <c r="D103" s="45">
        <v>0</v>
      </c>
      <c r="E103" s="45">
        <v>0</v>
      </c>
      <c r="F103" s="45">
        <v>0</v>
      </c>
      <c r="G103" s="45">
        <v>0</v>
      </c>
      <c r="H103" s="46">
        <v>9.4021173755261866E-2</v>
      </c>
      <c r="I103" s="46">
        <v>0</v>
      </c>
      <c r="J103" s="46">
        <v>9.4021173755261866E-2</v>
      </c>
    </row>
    <row r="104" spans="1:10" ht="11.25" customHeight="1" x14ac:dyDescent="0.2">
      <c r="A104" s="55">
        <v>44652</v>
      </c>
      <c r="B104" s="45">
        <v>739940.79999999993</v>
      </c>
      <c r="C104" s="45">
        <v>809510.90252540749</v>
      </c>
      <c r="D104" s="45">
        <v>0</v>
      </c>
      <c r="E104" s="45">
        <v>0</v>
      </c>
      <c r="F104" s="45">
        <v>0</v>
      </c>
      <c r="G104" s="45">
        <v>0</v>
      </c>
      <c r="H104" s="46">
        <v>9.4021173755262089E-2</v>
      </c>
      <c r="I104" s="46">
        <v>0</v>
      </c>
      <c r="J104" s="46">
        <v>9.4021173755262089E-2</v>
      </c>
    </row>
    <row r="105" spans="1:10" ht="11.25" customHeight="1" x14ac:dyDescent="0.2">
      <c r="A105" s="55">
        <v>44682</v>
      </c>
      <c r="B105" s="45">
        <v>764490.55999999994</v>
      </c>
      <c r="C105" s="45">
        <v>836368.85977601737</v>
      </c>
      <c r="D105" s="45">
        <v>0</v>
      </c>
      <c r="E105" s="45">
        <v>0</v>
      </c>
      <c r="F105" s="45">
        <v>0</v>
      </c>
      <c r="G105" s="45">
        <v>0</v>
      </c>
      <c r="H105" s="46">
        <v>9.4021173755261866E-2</v>
      </c>
      <c r="I105" s="46">
        <v>0</v>
      </c>
      <c r="J105" s="46">
        <v>9.4021173755261866E-2</v>
      </c>
    </row>
    <row r="106" spans="1:10" ht="11.25" customHeight="1" x14ac:dyDescent="0.2">
      <c r="A106" s="55">
        <v>44713</v>
      </c>
      <c r="B106" s="45">
        <v>756215.36</v>
      </c>
      <c r="C106" s="45">
        <v>827315.61575895792</v>
      </c>
      <c r="D106" s="45">
        <v>0</v>
      </c>
      <c r="E106" s="45">
        <v>0</v>
      </c>
      <c r="F106" s="45">
        <v>0</v>
      </c>
      <c r="G106" s="45">
        <v>0</v>
      </c>
      <c r="H106" s="46">
        <v>9.4021173755261866E-2</v>
      </c>
      <c r="I106" s="46">
        <v>0</v>
      </c>
      <c r="J106" s="46">
        <v>9.4021173755261866E-2</v>
      </c>
    </row>
    <row r="107" spans="1:10" ht="11.25" customHeight="1" x14ac:dyDescent="0.2">
      <c r="A107" s="55">
        <v>44743</v>
      </c>
      <c r="B107" s="45">
        <v>754422.39999999991</v>
      </c>
      <c r="C107" s="45">
        <v>825354.07955526165</v>
      </c>
      <c r="D107" s="45">
        <v>0</v>
      </c>
      <c r="E107" s="45">
        <v>0</v>
      </c>
      <c r="F107" s="45">
        <v>0</v>
      </c>
      <c r="G107" s="45">
        <v>0</v>
      </c>
      <c r="H107" s="46">
        <v>9.4021173755261866E-2</v>
      </c>
      <c r="I107" s="46">
        <v>0</v>
      </c>
      <c r="J107" s="46">
        <v>9.4021173755261866E-2</v>
      </c>
    </row>
    <row r="108" spans="1:10" ht="11.25" customHeight="1" x14ac:dyDescent="0.2">
      <c r="A108" s="55">
        <v>44774</v>
      </c>
      <c r="B108" s="45">
        <v>754422.39999999991</v>
      </c>
      <c r="C108" s="45">
        <v>825354.07955526165</v>
      </c>
      <c r="D108" s="45">
        <v>0</v>
      </c>
      <c r="E108" s="45">
        <v>0</v>
      </c>
      <c r="F108" s="45">
        <v>0</v>
      </c>
      <c r="G108" s="45">
        <v>0</v>
      </c>
      <c r="H108" s="46">
        <v>9.4021173755261866E-2</v>
      </c>
      <c r="I108" s="46">
        <v>0</v>
      </c>
      <c r="J108" s="46">
        <v>9.4021173755261866E-2</v>
      </c>
    </row>
    <row r="109" spans="1:10" ht="11.25" customHeight="1" x14ac:dyDescent="0.2">
      <c r="A109" s="54" t="s">
        <v>37</v>
      </c>
      <c r="B109" s="45">
        <v>0</v>
      </c>
      <c r="C109" s="45">
        <v>0</v>
      </c>
      <c r="D109" s="45">
        <v>2861462.6707199998</v>
      </c>
      <c r="E109" s="45">
        <v>2808556.0646267231</v>
      </c>
      <c r="F109" s="45">
        <v>160664.30292000002</v>
      </c>
      <c r="G109" s="45">
        <v>146082.68313217416</v>
      </c>
      <c r="H109" s="46">
        <v>-1.8489357430605535E-2</v>
      </c>
      <c r="I109" s="46">
        <v>-9.0758304880496632E-2</v>
      </c>
      <c r="J109" s="46">
        <v>-2.2331366772395111E-2</v>
      </c>
    </row>
    <row r="110" spans="1:10" ht="11.25" customHeight="1" x14ac:dyDescent="0.2">
      <c r="A110" s="55">
        <v>44440</v>
      </c>
      <c r="B110" s="45">
        <v>0</v>
      </c>
      <c r="C110" s="45">
        <v>0</v>
      </c>
      <c r="D110" s="45">
        <v>228637.72959999996</v>
      </c>
      <c r="E110" s="45">
        <v>224410.36489530347</v>
      </c>
      <c r="F110" s="45">
        <v>12837.463099999997</v>
      </c>
      <c r="G110" s="45">
        <v>11672.356710078075</v>
      </c>
      <c r="H110" s="46">
        <v>-1.8489357430605313E-2</v>
      </c>
      <c r="I110" s="46">
        <v>-9.075830488049641E-2</v>
      </c>
      <c r="J110" s="46">
        <v>-2.2331366772394778E-2</v>
      </c>
    </row>
    <row r="111" spans="1:10" ht="11.25" customHeight="1" x14ac:dyDescent="0.2">
      <c r="A111" s="55">
        <v>44470</v>
      </c>
      <c r="B111" s="45">
        <v>0</v>
      </c>
      <c r="C111" s="45">
        <v>0</v>
      </c>
      <c r="D111" s="45">
        <v>182069.86943999998</v>
      </c>
      <c r="E111" s="45">
        <v>178703.51454658018</v>
      </c>
      <c r="F111" s="45">
        <v>10222.788839999997</v>
      </c>
      <c r="G111" s="45">
        <v>9294.9858537303389</v>
      </c>
      <c r="H111" s="46">
        <v>-1.8489357430605313E-2</v>
      </c>
      <c r="I111" s="46">
        <v>-9.0758304880496632E-2</v>
      </c>
      <c r="J111" s="46">
        <v>-2.2331366772394778E-2</v>
      </c>
    </row>
    <row r="112" spans="1:10" ht="11.25" customHeight="1" x14ac:dyDescent="0.2">
      <c r="A112" s="55">
        <v>44501</v>
      </c>
      <c r="B112" s="45">
        <v>0</v>
      </c>
      <c r="C112" s="45">
        <v>0</v>
      </c>
      <c r="D112" s="45">
        <v>199681.67839999998</v>
      </c>
      <c r="E112" s="45">
        <v>195989.69247571917</v>
      </c>
      <c r="F112" s="45">
        <v>11211.649899999999</v>
      </c>
      <c r="G112" s="45">
        <v>10194.099560162409</v>
      </c>
      <c r="H112" s="46">
        <v>-1.8489357430605424E-2</v>
      </c>
      <c r="I112" s="46">
        <v>-9.0758304880496632E-2</v>
      </c>
      <c r="J112" s="46">
        <v>-2.2331366772394889E-2</v>
      </c>
    </row>
    <row r="113" spans="1:10" ht="11.25" customHeight="1" x14ac:dyDescent="0.2">
      <c r="A113" s="55">
        <v>44531</v>
      </c>
      <c r="B113" s="45">
        <v>0</v>
      </c>
      <c r="C113" s="45">
        <v>0</v>
      </c>
      <c r="D113" s="45">
        <v>224125.72383999996</v>
      </c>
      <c r="E113" s="45">
        <v>219981.78322252908</v>
      </c>
      <c r="F113" s="45">
        <v>12584.124739999999</v>
      </c>
      <c r="G113" s="45">
        <v>11442.010910192877</v>
      </c>
      <c r="H113" s="46">
        <v>-1.8489357430605313E-2</v>
      </c>
      <c r="I113" s="46">
        <v>-9.0758304880496743E-2</v>
      </c>
      <c r="J113" s="46">
        <v>-2.2331366772394778E-2</v>
      </c>
    </row>
    <row r="114" spans="1:10" ht="11.25" customHeight="1" x14ac:dyDescent="0.2">
      <c r="A114" s="55">
        <v>44562</v>
      </c>
      <c r="B114" s="45">
        <v>0</v>
      </c>
      <c r="C114" s="45">
        <v>0</v>
      </c>
      <c r="D114" s="45">
        <v>189726.36319999999</v>
      </c>
      <c r="E114" s="45">
        <v>186218.44465678633</v>
      </c>
      <c r="F114" s="45">
        <v>10652.682699999999</v>
      </c>
      <c r="G114" s="45">
        <v>9685.8632757182077</v>
      </c>
      <c r="H114" s="46">
        <v>-1.8489357430605424E-2</v>
      </c>
      <c r="I114" s="46">
        <v>-9.0758304880496632E-2</v>
      </c>
      <c r="J114" s="46">
        <v>-2.2331366772394889E-2</v>
      </c>
    </row>
    <row r="115" spans="1:10" ht="11.25" customHeight="1" x14ac:dyDescent="0.2">
      <c r="A115" s="55">
        <v>44593</v>
      </c>
      <c r="B115" s="45">
        <v>0</v>
      </c>
      <c r="C115" s="45">
        <v>0</v>
      </c>
      <c r="D115" s="45">
        <v>228849.14623999997</v>
      </c>
      <c r="E115" s="45">
        <v>224617.87257747975</v>
      </c>
      <c r="F115" s="45">
        <v>12849.333639999999</v>
      </c>
      <c r="G115" s="45">
        <v>11683.149899989658</v>
      </c>
      <c r="H115" s="46">
        <v>-1.8489357430605313E-2</v>
      </c>
      <c r="I115" s="46">
        <v>-9.0758304880496632E-2</v>
      </c>
      <c r="J115" s="46">
        <v>-2.2331366772394778E-2</v>
      </c>
    </row>
    <row r="116" spans="1:10" ht="11.25" customHeight="1" x14ac:dyDescent="0.2">
      <c r="A116" s="55">
        <v>44621</v>
      </c>
      <c r="B116" s="45">
        <v>0</v>
      </c>
      <c r="C116" s="45">
        <v>0</v>
      </c>
      <c r="D116" s="45">
        <v>217761.81536000001</v>
      </c>
      <c r="E116" s="45">
        <v>213735.53932107147</v>
      </c>
      <c r="F116" s="45">
        <v>12226.80646</v>
      </c>
      <c r="G116" s="45">
        <v>11117.122231588495</v>
      </c>
      <c r="H116" s="46">
        <v>-1.8489357430605424E-2</v>
      </c>
      <c r="I116" s="46">
        <v>-9.0758304880496521E-2</v>
      </c>
      <c r="J116" s="46">
        <v>-2.2331366772394889E-2</v>
      </c>
    </row>
    <row r="117" spans="1:10" ht="11.25" customHeight="1" x14ac:dyDescent="0.2">
      <c r="A117" s="55">
        <v>44652</v>
      </c>
      <c r="B117" s="45">
        <v>0</v>
      </c>
      <c r="C117" s="45">
        <v>0</v>
      </c>
      <c r="D117" s="45">
        <v>254476.05439999996</v>
      </c>
      <c r="E117" s="45">
        <v>249770.95567266821</v>
      </c>
      <c r="F117" s="45">
        <v>14288.223399999997</v>
      </c>
      <c r="G117" s="45">
        <v>12991.448464462153</v>
      </c>
      <c r="H117" s="46">
        <v>-1.8489357430605313E-2</v>
      </c>
      <c r="I117" s="46">
        <v>-9.0758304880496521E-2</v>
      </c>
      <c r="J117" s="46">
        <v>-2.2331366772394889E-2</v>
      </c>
    </row>
    <row r="118" spans="1:10" ht="11.25" customHeight="1" x14ac:dyDescent="0.2">
      <c r="A118" s="55">
        <v>44682</v>
      </c>
      <c r="B118" s="45">
        <v>0</v>
      </c>
      <c r="C118" s="45">
        <v>0</v>
      </c>
      <c r="D118" s="45">
        <v>265657.05088</v>
      </c>
      <c r="E118" s="45">
        <v>260745.22271231917</v>
      </c>
      <c r="F118" s="45">
        <v>14916.009679999997</v>
      </c>
      <c r="G118" s="45">
        <v>13562.257925862119</v>
      </c>
      <c r="H118" s="46">
        <v>-1.8489357430605313E-2</v>
      </c>
      <c r="I118" s="46">
        <v>-9.0758304880496632E-2</v>
      </c>
      <c r="J118" s="46">
        <v>-2.2331366772395E-2</v>
      </c>
    </row>
    <row r="119" spans="1:10" ht="11.25" customHeight="1" x14ac:dyDescent="0.2">
      <c r="A119" s="55">
        <v>44713</v>
      </c>
      <c r="B119" s="45">
        <v>0</v>
      </c>
      <c r="C119" s="45">
        <v>0</v>
      </c>
      <c r="D119" s="45">
        <v>243977.47871999998</v>
      </c>
      <c r="E119" s="45">
        <v>239466.49191092799</v>
      </c>
      <c r="F119" s="45">
        <v>13698.753419999999</v>
      </c>
      <c r="G119" s="45">
        <v>12455.477780624893</v>
      </c>
      <c r="H119" s="46">
        <v>-1.8489357430605424E-2</v>
      </c>
      <c r="I119" s="46">
        <v>-9.0758304880496632E-2</v>
      </c>
      <c r="J119" s="46">
        <v>-2.2331366772394778E-2</v>
      </c>
    </row>
    <row r="120" spans="1:10" ht="11.25" customHeight="1" x14ac:dyDescent="0.2">
      <c r="A120" s="55">
        <v>44743</v>
      </c>
      <c r="B120" s="45">
        <v>0</v>
      </c>
      <c r="C120" s="45">
        <v>0</v>
      </c>
      <c r="D120" s="45">
        <v>313249.88032</v>
      </c>
      <c r="E120" s="45">
        <v>307458.09131766914</v>
      </c>
      <c r="F120" s="45">
        <v>17588.233519999998</v>
      </c>
      <c r="G120" s="45">
        <v>15991.955259882468</v>
      </c>
      <c r="H120" s="46">
        <v>-1.8489357430605424E-2</v>
      </c>
      <c r="I120" s="46">
        <v>-9.0758304880496632E-2</v>
      </c>
      <c r="J120" s="46">
        <v>-2.2331366772394889E-2</v>
      </c>
    </row>
    <row r="121" spans="1:10" ht="11.25" customHeight="1" x14ac:dyDescent="0.2">
      <c r="A121" s="55">
        <v>44774</v>
      </c>
      <c r="B121" s="45">
        <v>0</v>
      </c>
      <c r="C121" s="45">
        <v>0</v>
      </c>
      <c r="D121" s="45">
        <v>313249.88032</v>
      </c>
      <c r="E121" s="45">
        <v>307458.09131766914</v>
      </c>
      <c r="F121" s="45">
        <v>17588.233519999998</v>
      </c>
      <c r="G121" s="45">
        <v>15991.955259882468</v>
      </c>
      <c r="H121" s="46">
        <v>-1.8489357430605424E-2</v>
      </c>
      <c r="I121" s="46">
        <v>-9.0758304880496632E-2</v>
      </c>
      <c r="J121" s="46">
        <v>-2.2331366772394889E-2</v>
      </c>
    </row>
    <row r="122" spans="1:10" ht="11.25" customHeight="1" x14ac:dyDescent="0.2">
      <c r="A122" s="50" t="s">
        <v>45</v>
      </c>
      <c r="B122" s="45">
        <v>31031.999999999996</v>
      </c>
      <c r="C122" s="45">
        <v>33949.665063973283</v>
      </c>
      <c r="D122" s="45">
        <v>4442.5805</v>
      </c>
      <c r="E122" s="45">
        <v>5216.7969511356869</v>
      </c>
      <c r="F122" s="45">
        <v>3817.0547799999995</v>
      </c>
      <c r="G122" s="45">
        <v>3470.6253585312029</v>
      </c>
      <c r="H122" s="46">
        <v>0.10407118176095054</v>
      </c>
      <c r="I122" s="46">
        <v>-9.0758304880496521E-2</v>
      </c>
      <c r="J122" s="46">
        <v>8.5144129782326994E-2</v>
      </c>
    </row>
    <row r="123" spans="1:10" ht="11.25" customHeight="1" x14ac:dyDescent="0.2">
      <c r="A123" s="51" t="s">
        <v>25</v>
      </c>
      <c r="B123" s="45">
        <v>31031.999999999996</v>
      </c>
      <c r="C123" s="45">
        <v>33949.665063973283</v>
      </c>
      <c r="D123" s="45">
        <v>4442.5805</v>
      </c>
      <c r="E123" s="45">
        <v>5216.7969511356869</v>
      </c>
      <c r="F123" s="45">
        <v>3817.0547799999995</v>
      </c>
      <c r="G123" s="45">
        <v>3470.6253585312029</v>
      </c>
      <c r="H123" s="46">
        <v>0.10407118176095054</v>
      </c>
      <c r="I123" s="46">
        <v>-9.0758304880496521E-2</v>
      </c>
      <c r="J123" s="46">
        <v>8.5144129782326994E-2</v>
      </c>
    </row>
    <row r="124" spans="1:10" ht="11.25" customHeight="1" x14ac:dyDescent="0.2">
      <c r="A124" s="52" t="s">
        <v>25</v>
      </c>
      <c r="B124" s="45">
        <v>31031.999999999996</v>
      </c>
      <c r="C124" s="45">
        <v>33949.665063973283</v>
      </c>
      <c r="D124" s="45">
        <v>4442.5805</v>
      </c>
      <c r="E124" s="45">
        <v>5216.7969511356869</v>
      </c>
      <c r="F124" s="45">
        <v>3817.0547799999995</v>
      </c>
      <c r="G124" s="45">
        <v>3470.6253585312029</v>
      </c>
      <c r="H124" s="46">
        <v>0.10407118176095054</v>
      </c>
      <c r="I124" s="46">
        <v>-9.0758304880496521E-2</v>
      </c>
      <c r="J124" s="46">
        <v>8.5144129782326994E-2</v>
      </c>
    </row>
    <row r="125" spans="1:10" ht="11.25" customHeight="1" x14ac:dyDescent="0.2">
      <c r="A125" s="53" t="s">
        <v>25</v>
      </c>
      <c r="B125" s="45">
        <v>31031.999999999996</v>
      </c>
      <c r="C125" s="45">
        <v>33949.665063973283</v>
      </c>
      <c r="D125" s="45">
        <v>4442.5805</v>
      </c>
      <c r="E125" s="45">
        <v>5216.7969511356869</v>
      </c>
      <c r="F125" s="45">
        <v>3817.0547799999995</v>
      </c>
      <c r="G125" s="45">
        <v>3470.6253585312029</v>
      </c>
      <c r="H125" s="46">
        <v>0.10407118176095054</v>
      </c>
      <c r="I125" s="46">
        <v>-9.0758304880496521E-2</v>
      </c>
      <c r="J125" s="46">
        <v>8.5144129782326994E-2</v>
      </c>
    </row>
    <row r="126" spans="1:10" ht="11.25" customHeight="1" x14ac:dyDescent="0.2">
      <c r="A126" s="54" t="s">
        <v>38</v>
      </c>
      <c r="B126" s="45">
        <v>0</v>
      </c>
      <c r="C126" s="45">
        <v>0</v>
      </c>
      <c r="D126" s="45">
        <v>1466.69058</v>
      </c>
      <c r="E126" s="45">
        <v>2295.9293235407022</v>
      </c>
      <c r="F126" s="45">
        <v>3649.9656599999998</v>
      </c>
      <c r="G126" s="45">
        <v>3318.7009638263767</v>
      </c>
      <c r="H126" s="46">
        <v>0.56538083413660578</v>
      </c>
      <c r="I126" s="46">
        <v>-9.0758304880496632E-2</v>
      </c>
      <c r="J126" s="46">
        <v>9.732411637782401E-2</v>
      </c>
    </row>
    <row r="127" spans="1:10" ht="11.25" customHeight="1" x14ac:dyDescent="0.2">
      <c r="A127" s="55">
        <v>44440</v>
      </c>
      <c r="B127" s="45">
        <v>0</v>
      </c>
      <c r="C127" s="45">
        <v>0</v>
      </c>
      <c r="D127" s="45">
        <v>113.15212000000001</v>
      </c>
      <c r="E127" s="45">
        <v>177.12615998992533</v>
      </c>
      <c r="F127" s="45">
        <v>281.58724000000001</v>
      </c>
      <c r="G127" s="45">
        <v>256.03085942162244</v>
      </c>
      <c r="H127" s="46">
        <v>0.56538083413660578</v>
      </c>
      <c r="I127" s="46">
        <v>-9.0758304880496632E-2</v>
      </c>
      <c r="J127" s="46">
        <v>9.732411637782401E-2</v>
      </c>
    </row>
    <row r="128" spans="1:10" ht="11.25" customHeight="1" x14ac:dyDescent="0.2">
      <c r="A128" s="55">
        <v>44470</v>
      </c>
      <c r="B128" s="45">
        <v>0</v>
      </c>
      <c r="C128" s="45">
        <v>0</v>
      </c>
      <c r="D128" s="45">
        <v>123.29595999999999</v>
      </c>
      <c r="E128" s="45">
        <v>193.00513271047356</v>
      </c>
      <c r="F128" s="45">
        <v>306.83091999999994</v>
      </c>
      <c r="G128" s="45">
        <v>278.98346581587668</v>
      </c>
      <c r="H128" s="46">
        <v>0.56538083413660578</v>
      </c>
      <c r="I128" s="46">
        <v>-9.0758304880496632E-2</v>
      </c>
      <c r="J128" s="46">
        <v>9.732411637782401E-2</v>
      </c>
    </row>
    <row r="129" spans="1:10" ht="11.25" customHeight="1" x14ac:dyDescent="0.2">
      <c r="A129" s="55">
        <v>44501</v>
      </c>
      <c r="B129" s="45">
        <v>0</v>
      </c>
      <c r="C129" s="45">
        <v>0</v>
      </c>
      <c r="D129" s="45">
        <v>125.71115999999999</v>
      </c>
      <c r="E129" s="45">
        <v>196.78584050108029</v>
      </c>
      <c r="F129" s="45">
        <v>312.84131999999994</v>
      </c>
      <c r="G129" s="45">
        <v>284.44837210022297</v>
      </c>
      <c r="H129" s="46">
        <v>0.56538083413660578</v>
      </c>
      <c r="I129" s="46">
        <v>-9.0758304880496521E-2</v>
      </c>
      <c r="J129" s="46">
        <v>9.732411637782401E-2</v>
      </c>
    </row>
    <row r="130" spans="1:10" ht="11.25" customHeight="1" x14ac:dyDescent="0.2">
      <c r="A130" s="55">
        <v>44531</v>
      </c>
      <c r="B130" s="45">
        <v>0</v>
      </c>
      <c r="C130" s="45">
        <v>0</v>
      </c>
      <c r="D130" s="45">
        <v>169.54704000000001</v>
      </c>
      <c r="E130" s="45">
        <v>265.40568690059246</v>
      </c>
      <c r="F130" s="45">
        <v>421.93007999999998</v>
      </c>
      <c r="G130" s="45">
        <v>383.63642116110765</v>
      </c>
      <c r="H130" s="46">
        <v>0.56538083413660556</v>
      </c>
      <c r="I130" s="46">
        <v>-9.0758304880496632E-2</v>
      </c>
      <c r="J130" s="46">
        <v>9.7324116377823788E-2</v>
      </c>
    </row>
    <row r="131" spans="1:10" ht="11.25" customHeight="1" x14ac:dyDescent="0.2">
      <c r="A131" s="55">
        <v>44562</v>
      </c>
      <c r="B131" s="45">
        <v>0</v>
      </c>
      <c r="C131" s="45">
        <v>0</v>
      </c>
      <c r="D131" s="45">
        <v>79.580840000000009</v>
      </c>
      <c r="E131" s="45">
        <v>124.57432170049177</v>
      </c>
      <c r="F131" s="45">
        <v>198.04267999999999</v>
      </c>
      <c r="G131" s="45">
        <v>180.06866206920935</v>
      </c>
      <c r="H131" s="46">
        <v>0.56538083413660556</v>
      </c>
      <c r="I131" s="46">
        <v>-9.0758304880496632E-2</v>
      </c>
      <c r="J131" s="46">
        <v>9.732411637782401E-2</v>
      </c>
    </row>
    <row r="132" spans="1:10" ht="11.25" customHeight="1" x14ac:dyDescent="0.2">
      <c r="A132" s="55">
        <v>44593</v>
      </c>
      <c r="B132" s="45">
        <v>0</v>
      </c>
      <c r="C132" s="45">
        <v>0</v>
      </c>
      <c r="D132" s="45">
        <v>36.409140000000001</v>
      </c>
      <c r="E132" s="45">
        <v>56.994169943396457</v>
      </c>
      <c r="F132" s="45">
        <v>90.606779999999986</v>
      </c>
      <c r="G132" s="45">
        <v>82.383462236519904</v>
      </c>
      <c r="H132" s="46">
        <v>0.56538083413660578</v>
      </c>
      <c r="I132" s="46">
        <v>-9.0758304880496632E-2</v>
      </c>
      <c r="J132" s="46">
        <v>9.7324116377823788E-2</v>
      </c>
    </row>
    <row r="133" spans="1:10" ht="11.25" customHeight="1" x14ac:dyDescent="0.2">
      <c r="A133" s="55">
        <v>44621</v>
      </c>
      <c r="B133" s="45">
        <v>0</v>
      </c>
      <c r="C133" s="45">
        <v>0</v>
      </c>
      <c r="D133" s="45">
        <v>155.65964</v>
      </c>
      <c r="E133" s="45">
        <v>243.66661710460374</v>
      </c>
      <c r="F133" s="45">
        <v>387.37027999999998</v>
      </c>
      <c r="G133" s="45">
        <v>352.2132100261166</v>
      </c>
      <c r="H133" s="46">
        <v>0.56538083413660578</v>
      </c>
      <c r="I133" s="46">
        <v>-9.0758304880496743E-2</v>
      </c>
      <c r="J133" s="46">
        <v>9.7324116377823788E-2</v>
      </c>
    </row>
    <row r="134" spans="1:10" ht="11.25" customHeight="1" x14ac:dyDescent="0.2">
      <c r="A134" s="55">
        <v>44652</v>
      </c>
      <c r="B134" s="45">
        <v>0</v>
      </c>
      <c r="C134" s="45">
        <v>0</v>
      </c>
      <c r="D134" s="45">
        <v>251.30155999999999</v>
      </c>
      <c r="E134" s="45">
        <v>393.38264561263026</v>
      </c>
      <c r="F134" s="45">
        <v>625.38211999999999</v>
      </c>
      <c r="G134" s="45">
        <v>568.62349888622862</v>
      </c>
      <c r="H134" s="46">
        <v>0.56538083413660578</v>
      </c>
      <c r="I134" s="46">
        <v>-9.0758304880496743E-2</v>
      </c>
      <c r="J134" s="46">
        <v>9.732411637782401E-2</v>
      </c>
    </row>
    <row r="135" spans="1:10" ht="11.25" customHeight="1" x14ac:dyDescent="0.2">
      <c r="A135" s="55">
        <v>44682</v>
      </c>
      <c r="B135" s="45">
        <v>0</v>
      </c>
      <c r="C135" s="45">
        <v>0</v>
      </c>
      <c r="D135" s="45">
        <v>103.00828</v>
      </c>
      <c r="E135" s="45">
        <v>161.24718726937704</v>
      </c>
      <c r="F135" s="45">
        <v>256.34355999999997</v>
      </c>
      <c r="G135" s="45">
        <v>233.07825302736811</v>
      </c>
      <c r="H135" s="46">
        <v>0.56538083413660578</v>
      </c>
      <c r="I135" s="46">
        <v>-9.0758304880496521E-2</v>
      </c>
      <c r="J135" s="46">
        <v>9.7324116377823788E-2</v>
      </c>
    </row>
    <row r="136" spans="1:10" ht="11.25" customHeight="1" x14ac:dyDescent="0.2">
      <c r="A136" s="55">
        <v>44713</v>
      </c>
      <c r="B136" s="45">
        <v>0</v>
      </c>
      <c r="C136" s="45">
        <v>0</v>
      </c>
      <c r="D136" s="45">
        <v>99.868520000000004</v>
      </c>
      <c r="E136" s="45">
        <v>156.33226714158829</v>
      </c>
      <c r="F136" s="45">
        <v>248.53003999999999</v>
      </c>
      <c r="G136" s="45">
        <v>225.97387485771796</v>
      </c>
      <c r="H136" s="46">
        <v>0.56538083413660556</v>
      </c>
      <c r="I136" s="46">
        <v>-9.0758304880496632E-2</v>
      </c>
      <c r="J136" s="46">
        <v>9.732411637782401E-2</v>
      </c>
    </row>
    <row r="137" spans="1:10" ht="11.25" customHeight="1" x14ac:dyDescent="0.2">
      <c r="A137" s="55">
        <v>44743</v>
      </c>
      <c r="B137" s="45">
        <v>0</v>
      </c>
      <c r="C137" s="45">
        <v>0</v>
      </c>
      <c r="D137" s="45">
        <v>104.57816</v>
      </c>
      <c r="E137" s="45">
        <v>163.70464733327142</v>
      </c>
      <c r="F137" s="45">
        <v>260.25031999999999</v>
      </c>
      <c r="G137" s="45">
        <v>236.63044211219318</v>
      </c>
      <c r="H137" s="46">
        <v>0.56538083413660578</v>
      </c>
      <c r="I137" s="46">
        <v>-9.0758304880496632E-2</v>
      </c>
      <c r="J137" s="46">
        <v>9.732411637782401E-2</v>
      </c>
    </row>
    <row r="138" spans="1:10" ht="11.25" customHeight="1" x14ac:dyDescent="0.2">
      <c r="A138" s="55">
        <v>44774</v>
      </c>
      <c r="B138" s="45">
        <v>0</v>
      </c>
      <c r="C138" s="45">
        <v>0</v>
      </c>
      <c r="D138" s="45">
        <v>104.57816</v>
      </c>
      <c r="E138" s="45">
        <v>163.70464733327142</v>
      </c>
      <c r="F138" s="45">
        <v>260.25031999999999</v>
      </c>
      <c r="G138" s="45">
        <v>236.63044211219318</v>
      </c>
      <c r="H138" s="46">
        <v>0.56538083413660578</v>
      </c>
      <c r="I138" s="46">
        <v>-9.0758304880496632E-2</v>
      </c>
      <c r="J138" s="46">
        <v>9.732411637782401E-2</v>
      </c>
    </row>
    <row r="139" spans="1:10" ht="11.25" customHeight="1" x14ac:dyDescent="0.2">
      <c r="A139" s="54" t="s">
        <v>25</v>
      </c>
      <c r="B139" s="45">
        <v>31031.999999999996</v>
      </c>
      <c r="C139" s="45">
        <v>33949.665063973283</v>
      </c>
      <c r="D139" s="45">
        <v>0</v>
      </c>
      <c r="E139" s="45">
        <v>0</v>
      </c>
      <c r="F139" s="45">
        <v>0</v>
      </c>
      <c r="G139" s="45">
        <v>0</v>
      </c>
      <c r="H139" s="46">
        <v>9.4021173755261866E-2</v>
      </c>
      <c r="I139" s="46">
        <v>0</v>
      </c>
      <c r="J139" s="46">
        <v>9.4021173755261866E-2</v>
      </c>
    </row>
    <row r="140" spans="1:10" ht="11.25" customHeight="1" x14ac:dyDescent="0.2">
      <c r="A140" s="55">
        <v>44440</v>
      </c>
      <c r="B140" s="45">
        <v>2585.9999999999995</v>
      </c>
      <c r="C140" s="45">
        <v>2829.1387553311069</v>
      </c>
      <c r="D140" s="45">
        <v>0</v>
      </c>
      <c r="E140" s="45">
        <v>0</v>
      </c>
      <c r="F140" s="45">
        <v>0</v>
      </c>
      <c r="G140" s="45">
        <v>0</v>
      </c>
      <c r="H140" s="46">
        <v>9.4021173755261866E-2</v>
      </c>
      <c r="I140" s="46">
        <v>0</v>
      </c>
      <c r="J140" s="46">
        <v>9.4021173755261866E-2</v>
      </c>
    </row>
    <row r="141" spans="1:10" ht="11.25" customHeight="1" x14ac:dyDescent="0.2">
      <c r="A141" s="55">
        <v>44470</v>
      </c>
      <c r="B141" s="45">
        <v>2585.9999999999995</v>
      </c>
      <c r="C141" s="45">
        <v>2829.1387553311069</v>
      </c>
      <c r="D141" s="45">
        <v>0</v>
      </c>
      <c r="E141" s="45">
        <v>0</v>
      </c>
      <c r="F141" s="45">
        <v>0</v>
      </c>
      <c r="G141" s="45">
        <v>0</v>
      </c>
      <c r="H141" s="46">
        <v>9.4021173755261866E-2</v>
      </c>
      <c r="I141" s="46">
        <v>0</v>
      </c>
      <c r="J141" s="46">
        <v>9.4021173755261866E-2</v>
      </c>
    </row>
    <row r="142" spans="1:10" ht="11.25" customHeight="1" x14ac:dyDescent="0.2">
      <c r="A142" s="55">
        <v>44501</v>
      </c>
      <c r="B142" s="45">
        <v>2585.9999999999995</v>
      </c>
      <c r="C142" s="45">
        <v>2829.1387553311069</v>
      </c>
      <c r="D142" s="45">
        <v>0</v>
      </c>
      <c r="E142" s="45">
        <v>0</v>
      </c>
      <c r="F142" s="45">
        <v>0</v>
      </c>
      <c r="G142" s="45">
        <v>0</v>
      </c>
      <c r="H142" s="46">
        <v>9.4021173755261866E-2</v>
      </c>
      <c r="I142" s="46">
        <v>0</v>
      </c>
      <c r="J142" s="46">
        <v>9.4021173755261866E-2</v>
      </c>
    </row>
    <row r="143" spans="1:10" ht="11.25" customHeight="1" x14ac:dyDescent="0.2">
      <c r="A143" s="55">
        <v>44531</v>
      </c>
      <c r="B143" s="45">
        <v>2585.9999999999995</v>
      </c>
      <c r="C143" s="45">
        <v>2829.1387553311069</v>
      </c>
      <c r="D143" s="45">
        <v>0</v>
      </c>
      <c r="E143" s="45">
        <v>0</v>
      </c>
      <c r="F143" s="45">
        <v>0</v>
      </c>
      <c r="G143" s="45">
        <v>0</v>
      </c>
      <c r="H143" s="46">
        <v>9.4021173755261866E-2</v>
      </c>
      <c r="I143" s="46">
        <v>0</v>
      </c>
      <c r="J143" s="46">
        <v>9.4021173755261866E-2</v>
      </c>
    </row>
    <row r="144" spans="1:10" ht="11.25" customHeight="1" x14ac:dyDescent="0.2">
      <c r="A144" s="55">
        <v>44562</v>
      </c>
      <c r="B144" s="45">
        <v>2585.9999999999995</v>
      </c>
      <c r="C144" s="45">
        <v>2829.1387553311069</v>
      </c>
      <c r="D144" s="45">
        <v>0</v>
      </c>
      <c r="E144" s="45">
        <v>0</v>
      </c>
      <c r="F144" s="45">
        <v>0</v>
      </c>
      <c r="G144" s="45">
        <v>0</v>
      </c>
      <c r="H144" s="46">
        <v>9.4021173755261866E-2</v>
      </c>
      <c r="I144" s="46">
        <v>0</v>
      </c>
      <c r="J144" s="46">
        <v>9.4021173755261866E-2</v>
      </c>
    </row>
    <row r="145" spans="1:10" ht="11.25" customHeight="1" x14ac:dyDescent="0.2">
      <c r="A145" s="55">
        <v>44593</v>
      </c>
      <c r="B145" s="45">
        <v>2585.9999999999995</v>
      </c>
      <c r="C145" s="45">
        <v>2829.1387553311069</v>
      </c>
      <c r="D145" s="45">
        <v>0</v>
      </c>
      <c r="E145" s="45">
        <v>0</v>
      </c>
      <c r="F145" s="45">
        <v>0</v>
      </c>
      <c r="G145" s="45">
        <v>0</v>
      </c>
      <c r="H145" s="46">
        <v>9.4021173755261866E-2</v>
      </c>
      <c r="I145" s="46">
        <v>0</v>
      </c>
      <c r="J145" s="46">
        <v>9.4021173755261866E-2</v>
      </c>
    </row>
    <row r="146" spans="1:10" ht="11.25" customHeight="1" x14ac:dyDescent="0.2">
      <c r="A146" s="55">
        <v>44621</v>
      </c>
      <c r="B146" s="45">
        <v>2585.9999999999995</v>
      </c>
      <c r="C146" s="45">
        <v>2829.1387553311069</v>
      </c>
      <c r="D146" s="45">
        <v>0</v>
      </c>
      <c r="E146" s="45">
        <v>0</v>
      </c>
      <c r="F146" s="45">
        <v>0</v>
      </c>
      <c r="G146" s="45">
        <v>0</v>
      </c>
      <c r="H146" s="46">
        <v>9.4021173755261866E-2</v>
      </c>
      <c r="I146" s="46">
        <v>0</v>
      </c>
      <c r="J146" s="46">
        <v>9.4021173755261866E-2</v>
      </c>
    </row>
    <row r="147" spans="1:10" ht="11.25" customHeight="1" x14ac:dyDescent="0.2">
      <c r="A147" s="55">
        <v>44652</v>
      </c>
      <c r="B147" s="45">
        <v>2585.9999999999995</v>
      </c>
      <c r="C147" s="45">
        <v>2829.1387553311069</v>
      </c>
      <c r="D147" s="45">
        <v>0</v>
      </c>
      <c r="E147" s="45">
        <v>0</v>
      </c>
      <c r="F147" s="45">
        <v>0</v>
      </c>
      <c r="G147" s="45">
        <v>0</v>
      </c>
      <c r="H147" s="46">
        <v>9.4021173755261866E-2</v>
      </c>
      <c r="I147" s="46">
        <v>0</v>
      </c>
      <c r="J147" s="46">
        <v>9.4021173755261866E-2</v>
      </c>
    </row>
    <row r="148" spans="1:10" ht="11.25" customHeight="1" x14ac:dyDescent="0.2">
      <c r="A148" s="55">
        <v>44682</v>
      </c>
      <c r="B148" s="45">
        <v>2585.9999999999995</v>
      </c>
      <c r="C148" s="45">
        <v>2829.1387553311069</v>
      </c>
      <c r="D148" s="45">
        <v>0</v>
      </c>
      <c r="E148" s="45">
        <v>0</v>
      </c>
      <c r="F148" s="45">
        <v>0</v>
      </c>
      <c r="G148" s="45">
        <v>0</v>
      </c>
      <c r="H148" s="46">
        <v>9.4021173755261866E-2</v>
      </c>
      <c r="I148" s="46">
        <v>0</v>
      </c>
      <c r="J148" s="46">
        <v>9.4021173755261866E-2</v>
      </c>
    </row>
    <row r="149" spans="1:10" ht="11.25" customHeight="1" x14ac:dyDescent="0.2">
      <c r="A149" s="55">
        <v>44713</v>
      </c>
      <c r="B149" s="45">
        <v>2585.9999999999995</v>
      </c>
      <c r="C149" s="45">
        <v>2829.1387553311069</v>
      </c>
      <c r="D149" s="45">
        <v>0</v>
      </c>
      <c r="E149" s="45">
        <v>0</v>
      </c>
      <c r="F149" s="45">
        <v>0</v>
      </c>
      <c r="G149" s="45">
        <v>0</v>
      </c>
      <c r="H149" s="46">
        <v>9.4021173755261866E-2</v>
      </c>
      <c r="I149" s="46">
        <v>0</v>
      </c>
      <c r="J149" s="46">
        <v>9.4021173755261866E-2</v>
      </c>
    </row>
    <row r="150" spans="1:10" ht="11.25" customHeight="1" x14ac:dyDescent="0.2">
      <c r="A150" s="55">
        <v>44743</v>
      </c>
      <c r="B150" s="45">
        <v>2585.9999999999995</v>
      </c>
      <c r="C150" s="45">
        <v>2829.1387553311069</v>
      </c>
      <c r="D150" s="45">
        <v>0</v>
      </c>
      <c r="E150" s="45">
        <v>0</v>
      </c>
      <c r="F150" s="45">
        <v>0</v>
      </c>
      <c r="G150" s="45">
        <v>0</v>
      </c>
      <c r="H150" s="46">
        <v>9.4021173755261866E-2</v>
      </c>
      <c r="I150" s="46">
        <v>0</v>
      </c>
      <c r="J150" s="46">
        <v>9.4021173755261866E-2</v>
      </c>
    </row>
    <row r="151" spans="1:10" ht="11.25" customHeight="1" x14ac:dyDescent="0.2">
      <c r="A151" s="55">
        <v>44774</v>
      </c>
      <c r="B151" s="45">
        <v>2585.9999999999995</v>
      </c>
      <c r="C151" s="45">
        <v>2829.1387553311069</v>
      </c>
      <c r="D151" s="45">
        <v>0</v>
      </c>
      <c r="E151" s="45">
        <v>0</v>
      </c>
      <c r="F151" s="45">
        <v>0</v>
      </c>
      <c r="G151" s="45">
        <v>0</v>
      </c>
      <c r="H151" s="46">
        <v>9.4021173755261866E-2</v>
      </c>
      <c r="I151" s="46">
        <v>0</v>
      </c>
      <c r="J151" s="46">
        <v>9.4021173755261866E-2</v>
      </c>
    </row>
    <row r="152" spans="1:10" ht="11.25" customHeight="1" x14ac:dyDescent="0.2">
      <c r="A152" s="54" t="s">
        <v>37</v>
      </c>
      <c r="B152" s="45">
        <v>0</v>
      </c>
      <c r="C152" s="45">
        <v>0</v>
      </c>
      <c r="D152" s="45">
        <v>2975.8899199999992</v>
      </c>
      <c r="E152" s="45">
        <v>2920.8676275949847</v>
      </c>
      <c r="F152" s="45">
        <v>167.08912000000001</v>
      </c>
      <c r="G152" s="45">
        <v>151.92439470482611</v>
      </c>
      <c r="H152" s="46">
        <v>-1.848935743060498E-2</v>
      </c>
      <c r="I152" s="46">
        <v>-9.0758304880496632E-2</v>
      </c>
      <c r="J152" s="46">
        <v>-2.2331366772394445E-2</v>
      </c>
    </row>
    <row r="153" spans="1:10" ht="11.25" customHeight="1" x14ac:dyDescent="0.2">
      <c r="A153" s="55">
        <v>44440</v>
      </c>
      <c r="B153" s="45">
        <v>0</v>
      </c>
      <c r="C153" s="45">
        <v>0</v>
      </c>
      <c r="D153" s="45">
        <v>232.82591999999997</v>
      </c>
      <c r="E153" s="45">
        <v>228.52111834601044</v>
      </c>
      <c r="F153" s="45">
        <v>13.072619999999999</v>
      </c>
      <c r="G153" s="45">
        <v>11.886171168453121</v>
      </c>
      <c r="H153" s="46">
        <v>-1.8489357430605313E-2</v>
      </c>
      <c r="I153" s="46">
        <v>-9.0758304880496632E-2</v>
      </c>
      <c r="J153" s="46">
        <v>-2.2331366772394778E-2</v>
      </c>
    </row>
    <row r="154" spans="1:10" ht="11.25" customHeight="1" x14ac:dyDescent="0.2">
      <c r="A154" s="55">
        <v>44470</v>
      </c>
      <c r="B154" s="45">
        <v>0</v>
      </c>
      <c r="C154" s="45">
        <v>0</v>
      </c>
      <c r="D154" s="45">
        <v>243.53055999999998</v>
      </c>
      <c r="E154" s="45">
        <v>239.02783643088452</v>
      </c>
      <c r="F154" s="45">
        <v>13.673659999999998</v>
      </c>
      <c r="G154" s="45">
        <v>12.432661796887748</v>
      </c>
      <c r="H154" s="46">
        <v>-1.8489357430605313E-2</v>
      </c>
      <c r="I154" s="46">
        <v>-9.0758304880496521E-2</v>
      </c>
      <c r="J154" s="46">
        <v>-2.2331366772394667E-2</v>
      </c>
    </row>
    <row r="155" spans="1:10" ht="11.25" customHeight="1" x14ac:dyDescent="0.2">
      <c r="A155" s="55">
        <v>44501</v>
      </c>
      <c r="B155" s="45">
        <v>0</v>
      </c>
      <c r="C155" s="45">
        <v>0</v>
      </c>
      <c r="D155" s="45">
        <v>254.23519999999999</v>
      </c>
      <c r="E155" s="45">
        <v>249.53455451575857</v>
      </c>
      <c r="F155" s="45">
        <v>14.274699999999999</v>
      </c>
      <c r="G155" s="45">
        <v>12.979152425322374</v>
      </c>
      <c r="H155" s="46">
        <v>-1.8489357430605313E-2</v>
      </c>
      <c r="I155" s="46">
        <v>-9.0758304880496632E-2</v>
      </c>
      <c r="J155" s="46">
        <v>-2.2331366772394889E-2</v>
      </c>
    </row>
    <row r="156" spans="1:10" ht="11.25" customHeight="1" x14ac:dyDescent="0.2">
      <c r="A156" s="55">
        <v>44531</v>
      </c>
      <c r="B156" s="45">
        <v>0</v>
      </c>
      <c r="C156" s="45">
        <v>0</v>
      </c>
      <c r="D156" s="45">
        <v>259.58751999999998</v>
      </c>
      <c r="E156" s="45">
        <v>254.78791355819558</v>
      </c>
      <c r="F156" s="45">
        <v>14.57522</v>
      </c>
      <c r="G156" s="45">
        <v>13.252397739539688</v>
      </c>
      <c r="H156" s="46">
        <v>-1.8489357430605313E-2</v>
      </c>
      <c r="I156" s="46">
        <v>-9.0758304880496632E-2</v>
      </c>
      <c r="J156" s="46">
        <v>-2.2331366772394778E-2</v>
      </c>
    </row>
    <row r="157" spans="1:10" ht="11.25" customHeight="1" x14ac:dyDescent="0.2">
      <c r="A157" s="55">
        <v>44562</v>
      </c>
      <c r="B157" s="45">
        <v>0</v>
      </c>
      <c r="C157" s="45">
        <v>0</v>
      </c>
      <c r="D157" s="45">
        <v>251.55903999999998</v>
      </c>
      <c r="E157" s="45">
        <v>246.90787499454004</v>
      </c>
      <c r="F157" s="45">
        <v>14.12444</v>
      </c>
      <c r="G157" s="45">
        <v>12.842529768213717</v>
      </c>
      <c r="H157" s="46">
        <v>-1.8489357430605313E-2</v>
      </c>
      <c r="I157" s="46">
        <v>-9.0758304880496632E-2</v>
      </c>
      <c r="J157" s="46">
        <v>-2.2331366772394778E-2</v>
      </c>
    </row>
    <row r="158" spans="1:10" ht="11.25" customHeight="1" x14ac:dyDescent="0.2">
      <c r="A158" s="55">
        <v>44593</v>
      </c>
      <c r="B158" s="45">
        <v>0</v>
      </c>
      <c r="C158" s="45">
        <v>0</v>
      </c>
      <c r="D158" s="45">
        <v>184.65504000000001</v>
      </c>
      <c r="E158" s="45">
        <v>181.24088696407728</v>
      </c>
      <c r="F158" s="45">
        <v>10.367940000000001</v>
      </c>
      <c r="G158" s="45">
        <v>9.4269633404973039</v>
      </c>
      <c r="H158" s="46">
        <v>-1.8489357430605424E-2</v>
      </c>
      <c r="I158" s="46">
        <v>-9.0758304880496743E-2</v>
      </c>
      <c r="J158" s="46">
        <v>-2.2331366772394889E-2</v>
      </c>
    </row>
    <row r="159" spans="1:10" ht="11.25" customHeight="1" x14ac:dyDescent="0.2">
      <c r="A159" s="55">
        <v>44621</v>
      </c>
      <c r="B159" s="45">
        <v>0</v>
      </c>
      <c r="C159" s="45">
        <v>0</v>
      </c>
      <c r="D159" s="45">
        <v>224.79743999999999</v>
      </c>
      <c r="E159" s="45">
        <v>220.64107978235495</v>
      </c>
      <c r="F159" s="45">
        <v>12.621840000000001</v>
      </c>
      <c r="G159" s="45">
        <v>11.476303197127152</v>
      </c>
      <c r="H159" s="46">
        <v>-1.8489357430605313E-2</v>
      </c>
      <c r="I159" s="46">
        <v>-9.0758304880496743E-2</v>
      </c>
      <c r="J159" s="46">
        <v>-2.2331366772394778E-2</v>
      </c>
    </row>
    <row r="160" spans="1:10" ht="11.25" customHeight="1" x14ac:dyDescent="0.2">
      <c r="A160" s="55">
        <v>44652</v>
      </c>
      <c r="B160" s="45">
        <v>0</v>
      </c>
      <c r="C160" s="45">
        <v>0</v>
      </c>
      <c r="D160" s="45">
        <v>382.69087999999994</v>
      </c>
      <c r="E160" s="45">
        <v>375.61517153424705</v>
      </c>
      <c r="F160" s="45">
        <v>21.487179999999999</v>
      </c>
      <c r="G160" s="45">
        <v>19.537039966537886</v>
      </c>
      <c r="H160" s="46">
        <v>-1.8489357430605313E-2</v>
      </c>
      <c r="I160" s="46">
        <v>-9.0758304880496743E-2</v>
      </c>
      <c r="J160" s="46">
        <v>-2.2331366772394889E-2</v>
      </c>
    </row>
    <row r="161" spans="1:10" ht="11.25" customHeight="1" x14ac:dyDescent="0.2">
      <c r="A161" s="55">
        <v>44682</v>
      </c>
      <c r="B161" s="45">
        <v>0</v>
      </c>
      <c r="C161" s="45">
        <v>0</v>
      </c>
      <c r="D161" s="45">
        <v>232.82591999999997</v>
      </c>
      <c r="E161" s="45">
        <v>228.52111834601044</v>
      </c>
      <c r="F161" s="45">
        <v>13.072619999999999</v>
      </c>
      <c r="G161" s="45">
        <v>11.886171168453121</v>
      </c>
      <c r="H161" s="46">
        <v>-1.8489357430605313E-2</v>
      </c>
      <c r="I161" s="46">
        <v>-9.0758304880496632E-2</v>
      </c>
      <c r="J161" s="46">
        <v>-2.2331366772394778E-2</v>
      </c>
    </row>
    <row r="162" spans="1:10" ht="11.25" customHeight="1" x14ac:dyDescent="0.2">
      <c r="A162" s="55">
        <v>44713</v>
      </c>
      <c r="B162" s="45">
        <v>0</v>
      </c>
      <c r="C162" s="45">
        <v>0</v>
      </c>
      <c r="D162" s="45">
        <v>243.53055999999998</v>
      </c>
      <c r="E162" s="45">
        <v>239.02783643088452</v>
      </c>
      <c r="F162" s="45">
        <v>13.673659999999998</v>
      </c>
      <c r="G162" s="45">
        <v>12.432661796887748</v>
      </c>
      <c r="H162" s="46">
        <v>-1.8489357430605313E-2</v>
      </c>
      <c r="I162" s="46">
        <v>-9.0758304880496521E-2</v>
      </c>
      <c r="J162" s="46">
        <v>-2.2331366772394667E-2</v>
      </c>
    </row>
    <row r="163" spans="1:10" ht="11.25" customHeight="1" x14ac:dyDescent="0.2">
      <c r="A163" s="55">
        <v>44743</v>
      </c>
      <c r="B163" s="45">
        <v>0</v>
      </c>
      <c r="C163" s="45">
        <v>0</v>
      </c>
      <c r="D163" s="45">
        <v>232.82591999999997</v>
      </c>
      <c r="E163" s="45">
        <v>228.52111834601044</v>
      </c>
      <c r="F163" s="45">
        <v>13.072619999999999</v>
      </c>
      <c r="G163" s="45">
        <v>11.886171168453121</v>
      </c>
      <c r="H163" s="46">
        <v>-1.8489357430605313E-2</v>
      </c>
      <c r="I163" s="46">
        <v>-9.0758304880496632E-2</v>
      </c>
      <c r="J163" s="46">
        <v>-2.2331366772394778E-2</v>
      </c>
    </row>
    <row r="164" spans="1:10" ht="11.25" customHeight="1" x14ac:dyDescent="0.2">
      <c r="A164" s="55">
        <v>44774</v>
      </c>
      <c r="B164" s="45">
        <v>0</v>
      </c>
      <c r="C164" s="45">
        <v>0</v>
      </c>
      <c r="D164" s="45">
        <v>232.82591999999997</v>
      </c>
      <c r="E164" s="45">
        <v>228.52111834601044</v>
      </c>
      <c r="F164" s="45">
        <v>13.072619999999999</v>
      </c>
      <c r="G164" s="45">
        <v>11.886171168453121</v>
      </c>
      <c r="H164" s="46">
        <v>-1.8489357430605313E-2</v>
      </c>
      <c r="I164" s="46">
        <v>-9.0758304880496632E-2</v>
      </c>
      <c r="J164" s="46">
        <v>-2.2331366772394778E-2</v>
      </c>
    </row>
    <row r="165" spans="1:10" ht="11.25" customHeight="1" x14ac:dyDescent="0.2">
      <c r="A165" s="50" t="s">
        <v>44</v>
      </c>
      <c r="B165" s="45">
        <v>62593.612799999995</v>
      </c>
      <c r="C165" s="45">
        <v>68478.737745038379</v>
      </c>
      <c r="D165" s="45">
        <v>37902.166348800005</v>
      </c>
      <c r="E165" s="45">
        <v>52182.18727657017</v>
      </c>
      <c r="F165" s="45">
        <v>64538.713536000003</v>
      </c>
      <c r="G165" s="45">
        <v>58681.289296304676</v>
      </c>
      <c r="H165" s="46">
        <v>0.20065664492188096</v>
      </c>
      <c r="I165" s="46">
        <v>-9.0758304880496743E-2</v>
      </c>
      <c r="J165" s="46">
        <v>8.6695341079028765E-2</v>
      </c>
    </row>
    <row r="166" spans="1:10" ht="11.25" customHeight="1" x14ac:dyDescent="0.2">
      <c r="A166" s="51" t="s">
        <v>25</v>
      </c>
      <c r="B166" s="45">
        <v>62593.612799999995</v>
      </c>
      <c r="C166" s="45">
        <v>68478.737745038379</v>
      </c>
      <c r="D166" s="45">
        <v>37902.166348800005</v>
      </c>
      <c r="E166" s="45">
        <v>52182.18727657017</v>
      </c>
      <c r="F166" s="45">
        <v>64538.713536000003</v>
      </c>
      <c r="G166" s="45">
        <v>58681.289296304676</v>
      </c>
      <c r="H166" s="46">
        <v>0.20065664492188096</v>
      </c>
      <c r="I166" s="46">
        <v>-9.0758304880496743E-2</v>
      </c>
      <c r="J166" s="46">
        <v>8.6695341079028765E-2</v>
      </c>
    </row>
    <row r="167" spans="1:10" ht="11.25" customHeight="1" x14ac:dyDescent="0.2">
      <c r="A167" s="52" t="s">
        <v>25</v>
      </c>
      <c r="B167" s="45">
        <v>62593.612799999995</v>
      </c>
      <c r="C167" s="45">
        <v>68478.737745038379</v>
      </c>
      <c r="D167" s="45">
        <v>37902.166348800005</v>
      </c>
      <c r="E167" s="45">
        <v>52182.18727657017</v>
      </c>
      <c r="F167" s="45">
        <v>64538.713536000003</v>
      </c>
      <c r="G167" s="45">
        <v>58681.289296304676</v>
      </c>
      <c r="H167" s="46">
        <v>0.20065664492188096</v>
      </c>
      <c r="I167" s="46">
        <v>-9.0758304880496743E-2</v>
      </c>
      <c r="J167" s="46">
        <v>8.6695341079028765E-2</v>
      </c>
    </row>
    <row r="168" spans="1:10" ht="11.25" customHeight="1" x14ac:dyDescent="0.2">
      <c r="A168" s="53" t="s">
        <v>25</v>
      </c>
      <c r="B168" s="45">
        <v>62593.612799999995</v>
      </c>
      <c r="C168" s="45">
        <v>68478.737745038379</v>
      </c>
      <c r="D168" s="45">
        <v>37902.166348800005</v>
      </c>
      <c r="E168" s="45">
        <v>52182.18727657017</v>
      </c>
      <c r="F168" s="45">
        <v>64538.713536000003</v>
      </c>
      <c r="G168" s="45">
        <v>58681.289296304676</v>
      </c>
      <c r="H168" s="46">
        <v>0.20065664492188096</v>
      </c>
      <c r="I168" s="46">
        <v>-9.0758304880496743E-2</v>
      </c>
      <c r="J168" s="46">
        <v>8.6695341079028765E-2</v>
      </c>
    </row>
    <row r="169" spans="1:10" ht="11.25" customHeight="1" x14ac:dyDescent="0.2">
      <c r="A169" s="54" t="s">
        <v>38</v>
      </c>
      <c r="B169" s="45">
        <v>0</v>
      </c>
      <c r="C169" s="45">
        <v>0</v>
      </c>
      <c r="D169" s="45">
        <v>25657.770931200001</v>
      </c>
      <c r="E169" s="45">
        <v>40164.182862367823</v>
      </c>
      <c r="F169" s="45">
        <v>63851.219942399999</v>
      </c>
      <c r="G169" s="45">
        <v>58056.191455876011</v>
      </c>
      <c r="H169" s="46">
        <v>0.56538083413660623</v>
      </c>
      <c r="I169" s="46">
        <v>-9.0758304880496632E-2</v>
      </c>
      <c r="J169" s="46">
        <v>9.732411637782401E-2</v>
      </c>
    </row>
    <row r="170" spans="1:10" ht="11.25" customHeight="1" x14ac:dyDescent="0.2">
      <c r="A170" s="55">
        <v>44440</v>
      </c>
      <c r="B170" s="45">
        <v>0</v>
      </c>
      <c r="C170" s="45">
        <v>0</v>
      </c>
      <c r="D170" s="45">
        <v>2055.2579135999999</v>
      </c>
      <c r="E170" s="45">
        <v>3217.261347157028</v>
      </c>
      <c r="F170" s="45">
        <v>5114.6580671999991</v>
      </c>
      <c r="G170" s="45">
        <v>4650.4603709775702</v>
      </c>
      <c r="H170" s="46">
        <v>0.56538083413660578</v>
      </c>
      <c r="I170" s="46">
        <v>-9.0758304880496632E-2</v>
      </c>
      <c r="J170" s="46">
        <v>9.7324116377824232E-2</v>
      </c>
    </row>
    <row r="171" spans="1:10" ht="11.25" customHeight="1" x14ac:dyDescent="0.2">
      <c r="A171" s="55">
        <v>44470</v>
      </c>
      <c r="B171" s="45">
        <v>0</v>
      </c>
      <c r="C171" s="45">
        <v>0</v>
      </c>
      <c r="D171" s="45">
        <v>2092.2974207999996</v>
      </c>
      <c r="E171" s="45">
        <v>3275.2422818337723</v>
      </c>
      <c r="F171" s="45">
        <v>5206.8335615999986</v>
      </c>
      <c r="G171" s="45">
        <v>4734.2701737543039</v>
      </c>
      <c r="H171" s="46">
        <v>0.56538083413660578</v>
      </c>
      <c r="I171" s="46">
        <v>-9.0758304880496632E-2</v>
      </c>
      <c r="J171" s="46">
        <v>9.7324116377823788E-2</v>
      </c>
    </row>
    <row r="172" spans="1:10" ht="11.25" customHeight="1" x14ac:dyDescent="0.2">
      <c r="A172" s="55">
        <v>44501</v>
      </c>
      <c r="B172" s="45">
        <v>0</v>
      </c>
      <c r="C172" s="45">
        <v>0</v>
      </c>
      <c r="D172" s="45">
        <v>2186.4902207999999</v>
      </c>
      <c r="E172" s="45">
        <v>3422.6898856674352</v>
      </c>
      <c r="F172" s="45">
        <v>5441.2391615999995</v>
      </c>
      <c r="G172" s="45">
        <v>4947.4015188438088</v>
      </c>
      <c r="H172" s="46">
        <v>0.56538083413660578</v>
      </c>
      <c r="I172" s="46">
        <v>-9.0758304880496632E-2</v>
      </c>
      <c r="J172" s="46">
        <v>9.732411637782401E-2</v>
      </c>
    </row>
    <row r="173" spans="1:10" ht="11.25" customHeight="1" x14ac:dyDescent="0.2">
      <c r="A173" s="55">
        <v>44531</v>
      </c>
      <c r="B173" s="45">
        <v>0</v>
      </c>
      <c r="C173" s="45">
        <v>0</v>
      </c>
      <c r="D173" s="45">
        <v>2318.0703168</v>
      </c>
      <c r="E173" s="45">
        <v>3628.6628460996899</v>
      </c>
      <c r="F173" s="45">
        <v>5768.6857535999998</v>
      </c>
      <c r="G173" s="45">
        <v>5245.1296132149937</v>
      </c>
      <c r="H173" s="46">
        <v>0.56538083413660578</v>
      </c>
      <c r="I173" s="46">
        <v>-9.0758304880496632E-2</v>
      </c>
      <c r="J173" s="46">
        <v>9.732411637782401E-2</v>
      </c>
    </row>
    <row r="174" spans="1:10" ht="11.25" customHeight="1" x14ac:dyDescent="0.2">
      <c r="A174" s="55">
        <v>44562</v>
      </c>
      <c r="B174" s="45">
        <v>0</v>
      </c>
      <c r="C174" s="45">
        <v>0</v>
      </c>
      <c r="D174" s="45">
        <v>2350.2407808000003</v>
      </c>
      <c r="E174" s="45">
        <v>3679.0218738705717</v>
      </c>
      <c r="F174" s="45">
        <v>5848.7442815999993</v>
      </c>
      <c r="G174" s="45">
        <v>5317.9221649224855</v>
      </c>
      <c r="H174" s="46">
        <v>0.56538083413660556</v>
      </c>
      <c r="I174" s="46">
        <v>-9.0758304880496632E-2</v>
      </c>
      <c r="J174" s="46">
        <v>9.732411637782401E-2</v>
      </c>
    </row>
    <row r="175" spans="1:10" ht="11.25" customHeight="1" x14ac:dyDescent="0.2">
      <c r="A175" s="55">
        <v>44593</v>
      </c>
      <c r="B175" s="45">
        <v>0</v>
      </c>
      <c r="C175" s="45">
        <v>0</v>
      </c>
      <c r="D175" s="45">
        <v>2347.3425407999998</v>
      </c>
      <c r="E175" s="45">
        <v>3674.4850245218436</v>
      </c>
      <c r="F175" s="45">
        <v>5841.5318015999992</v>
      </c>
      <c r="G175" s="45">
        <v>5311.3642773812699</v>
      </c>
      <c r="H175" s="46">
        <v>0.56538083413660578</v>
      </c>
      <c r="I175" s="46">
        <v>-9.0758304880496632E-2</v>
      </c>
      <c r="J175" s="46">
        <v>9.732411637782401E-2</v>
      </c>
    </row>
    <row r="176" spans="1:10" ht="11.25" customHeight="1" x14ac:dyDescent="0.2">
      <c r="A176" s="55">
        <v>44621</v>
      </c>
      <c r="B176" s="45">
        <v>0</v>
      </c>
      <c r="C176" s="45">
        <v>0</v>
      </c>
      <c r="D176" s="45">
        <v>2306.4773568000001</v>
      </c>
      <c r="E176" s="45">
        <v>3610.5154487047776</v>
      </c>
      <c r="F176" s="45">
        <v>5739.8358335999992</v>
      </c>
      <c r="G176" s="45">
        <v>5218.898063050131</v>
      </c>
      <c r="H176" s="46">
        <v>0.56538083413660578</v>
      </c>
      <c r="I176" s="46">
        <v>-9.0758304880496632E-2</v>
      </c>
      <c r="J176" s="46">
        <v>9.732411637782401E-2</v>
      </c>
    </row>
    <row r="177" spans="1:10" ht="11.25" customHeight="1" x14ac:dyDescent="0.2">
      <c r="A177" s="55">
        <v>44652</v>
      </c>
      <c r="B177" s="45">
        <v>0</v>
      </c>
      <c r="C177" s="45">
        <v>0</v>
      </c>
      <c r="D177" s="45">
        <v>2227.7611584000001</v>
      </c>
      <c r="E177" s="45">
        <v>3487.2946203933229</v>
      </c>
      <c r="F177" s="45">
        <v>5543.9448767999993</v>
      </c>
      <c r="G177" s="45">
        <v>5040.7858374307179</v>
      </c>
      <c r="H177" s="46">
        <v>0.56538083413660556</v>
      </c>
      <c r="I177" s="46">
        <v>-9.0758304880496521E-2</v>
      </c>
      <c r="J177" s="46">
        <v>9.732411637782401E-2</v>
      </c>
    </row>
    <row r="178" spans="1:10" ht="11.25" customHeight="1" x14ac:dyDescent="0.2">
      <c r="A178" s="55">
        <v>44682</v>
      </c>
      <c r="B178" s="45">
        <v>0</v>
      </c>
      <c r="C178" s="45">
        <v>0</v>
      </c>
      <c r="D178" s="45">
        <v>2013.6391871999997</v>
      </c>
      <c r="E178" s="45">
        <v>3152.1121905092923</v>
      </c>
      <c r="F178" s="45">
        <v>5011.0868543999986</v>
      </c>
      <c r="G178" s="45">
        <v>4556.2891058857149</v>
      </c>
      <c r="H178" s="46">
        <v>0.56538083413660578</v>
      </c>
      <c r="I178" s="46">
        <v>-9.0758304880496632E-2</v>
      </c>
      <c r="J178" s="46">
        <v>9.732411637782401E-2</v>
      </c>
    </row>
    <row r="179" spans="1:10" ht="11.25" customHeight="1" x14ac:dyDescent="0.2">
      <c r="A179" s="55">
        <v>44713</v>
      </c>
      <c r="B179" s="45">
        <v>0</v>
      </c>
      <c r="C179" s="45">
        <v>0</v>
      </c>
      <c r="D179" s="45">
        <v>1942.4004479999999</v>
      </c>
      <c r="E179" s="45">
        <v>3040.5964335175563</v>
      </c>
      <c r="F179" s="45">
        <v>4833.8040959999989</v>
      </c>
      <c r="G179" s="45">
        <v>4395.0962301226373</v>
      </c>
      <c r="H179" s="46">
        <v>0.56538083413660556</v>
      </c>
      <c r="I179" s="46">
        <v>-9.0758304880496743E-2</v>
      </c>
      <c r="J179" s="46">
        <v>9.7324116377823788E-2</v>
      </c>
    </row>
    <row r="180" spans="1:10" ht="11.25" customHeight="1" x14ac:dyDescent="0.2">
      <c r="A180" s="55">
        <v>44743</v>
      </c>
      <c r="B180" s="45">
        <v>0</v>
      </c>
      <c r="C180" s="45">
        <v>0</v>
      </c>
      <c r="D180" s="45">
        <v>1908.8967936000001</v>
      </c>
      <c r="E180" s="45">
        <v>2988.1504550462605</v>
      </c>
      <c r="F180" s="45">
        <v>4750.4278272000001</v>
      </c>
      <c r="G180" s="45">
        <v>4319.2870501461875</v>
      </c>
      <c r="H180" s="46">
        <v>0.56538083413660578</v>
      </c>
      <c r="I180" s="46">
        <v>-9.0758304880496632E-2</v>
      </c>
      <c r="J180" s="46">
        <v>9.732411637782401E-2</v>
      </c>
    </row>
    <row r="181" spans="1:10" ht="11.25" customHeight="1" x14ac:dyDescent="0.2">
      <c r="A181" s="55">
        <v>44774</v>
      </c>
      <c r="B181" s="45">
        <v>0</v>
      </c>
      <c r="C181" s="45">
        <v>0</v>
      </c>
      <c r="D181" s="45">
        <v>1908.8967936000001</v>
      </c>
      <c r="E181" s="45">
        <v>2988.1504550462605</v>
      </c>
      <c r="F181" s="45">
        <v>4750.4278272000001</v>
      </c>
      <c r="G181" s="45">
        <v>4319.2870501461875</v>
      </c>
      <c r="H181" s="46">
        <v>0.56538083413660578</v>
      </c>
      <c r="I181" s="46">
        <v>-9.0758304880496632E-2</v>
      </c>
      <c r="J181" s="46">
        <v>9.732411637782401E-2</v>
      </c>
    </row>
    <row r="182" spans="1:10" ht="11.25" customHeight="1" x14ac:dyDescent="0.2">
      <c r="A182" s="54" t="s">
        <v>25</v>
      </c>
      <c r="B182" s="45">
        <v>62593.612799999995</v>
      </c>
      <c r="C182" s="45">
        <v>68478.737745038379</v>
      </c>
      <c r="D182" s="45">
        <v>0</v>
      </c>
      <c r="E182" s="45">
        <v>0</v>
      </c>
      <c r="F182" s="45">
        <v>0</v>
      </c>
      <c r="G182" s="45">
        <v>0</v>
      </c>
      <c r="H182" s="46">
        <v>9.4021173755261866E-2</v>
      </c>
      <c r="I182" s="46">
        <v>0</v>
      </c>
      <c r="J182" s="46">
        <v>9.4021173755261866E-2</v>
      </c>
    </row>
    <row r="183" spans="1:10" ht="11.25" customHeight="1" x14ac:dyDescent="0.2">
      <c r="A183" s="55">
        <v>44440</v>
      </c>
      <c r="B183" s="45">
        <v>4435.5071999999991</v>
      </c>
      <c r="C183" s="45">
        <v>4852.5387931439145</v>
      </c>
      <c r="D183" s="45">
        <v>0</v>
      </c>
      <c r="E183" s="45">
        <v>0</v>
      </c>
      <c r="F183" s="45">
        <v>0</v>
      </c>
      <c r="G183" s="45">
        <v>0</v>
      </c>
      <c r="H183" s="46">
        <v>9.4021173755261866E-2</v>
      </c>
      <c r="I183" s="46">
        <v>0</v>
      </c>
      <c r="J183" s="46">
        <v>9.4021173755261866E-2</v>
      </c>
    </row>
    <row r="184" spans="1:10" ht="11.25" customHeight="1" x14ac:dyDescent="0.2">
      <c r="A184" s="55">
        <v>44470</v>
      </c>
      <c r="B184" s="45">
        <v>4700.3135999999995</v>
      </c>
      <c r="C184" s="45">
        <v>5142.2426016898198</v>
      </c>
      <c r="D184" s="45">
        <v>0</v>
      </c>
      <c r="E184" s="45">
        <v>0</v>
      </c>
      <c r="F184" s="45">
        <v>0</v>
      </c>
      <c r="G184" s="45">
        <v>0</v>
      </c>
      <c r="H184" s="46">
        <v>9.4021173755261866E-2</v>
      </c>
      <c r="I184" s="46">
        <v>0</v>
      </c>
      <c r="J184" s="46">
        <v>9.4021173755261866E-2</v>
      </c>
    </row>
    <row r="185" spans="1:10" ht="11.25" customHeight="1" x14ac:dyDescent="0.2">
      <c r="A185" s="55">
        <v>44501</v>
      </c>
      <c r="B185" s="45">
        <v>5064.4223999999995</v>
      </c>
      <c r="C185" s="45">
        <v>5540.58533844044</v>
      </c>
      <c r="D185" s="45">
        <v>0</v>
      </c>
      <c r="E185" s="45">
        <v>0</v>
      </c>
      <c r="F185" s="45">
        <v>0</v>
      </c>
      <c r="G185" s="45">
        <v>0</v>
      </c>
      <c r="H185" s="46">
        <v>9.4021173755261866E-2</v>
      </c>
      <c r="I185" s="46">
        <v>0</v>
      </c>
      <c r="J185" s="46">
        <v>9.4021173755261866E-2</v>
      </c>
    </row>
    <row r="186" spans="1:10" ht="11.25" customHeight="1" x14ac:dyDescent="0.2">
      <c r="A186" s="55">
        <v>44531</v>
      </c>
      <c r="B186" s="45">
        <v>4965.12</v>
      </c>
      <c r="C186" s="45">
        <v>5431.9464102357251</v>
      </c>
      <c r="D186" s="45">
        <v>0</v>
      </c>
      <c r="E186" s="45">
        <v>0</v>
      </c>
      <c r="F186" s="45">
        <v>0</v>
      </c>
      <c r="G186" s="45">
        <v>0</v>
      </c>
      <c r="H186" s="46">
        <v>9.4021173755261644E-2</v>
      </c>
      <c r="I186" s="46">
        <v>0</v>
      </c>
      <c r="J186" s="46">
        <v>9.4021173755261644E-2</v>
      </c>
    </row>
    <row r="187" spans="1:10" ht="11.25" customHeight="1" x14ac:dyDescent="0.2">
      <c r="A187" s="55">
        <v>44562</v>
      </c>
      <c r="B187" s="45">
        <v>5527.833599999999</v>
      </c>
      <c r="C187" s="45">
        <v>6047.567003395774</v>
      </c>
      <c r="D187" s="45">
        <v>0</v>
      </c>
      <c r="E187" s="45">
        <v>0</v>
      </c>
      <c r="F187" s="45">
        <v>0</v>
      </c>
      <c r="G187" s="45">
        <v>0</v>
      </c>
      <c r="H187" s="46">
        <v>9.4021173755261866E-2</v>
      </c>
      <c r="I187" s="46">
        <v>0</v>
      </c>
      <c r="J187" s="46">
        <v>9.4021173755261866E-2</v>
      </c>
    </row>
    <row r="188" spans="1:10" ht="11.25" customHeight="1" x14ac:dyDescent="0.2">
      <c r="A188" s="55">
        <v>44593</v>
      </c>
      <c r="B188" s="45">
        <v>5395.4303999999993</v>
      </c>
      <c r="C188" s="45">
        <v>5902.7150991228209</v>
      </c>
      <c r="D188" s="45">
        <v>0</v>
      </c>
      <c r="E188" s="45">
        <v>0</v>
      </c>
      <c r="F188" s="45">
        <v>0</v>
      </c>
      <c r="G188" s="45">
        <v>0</v>
      </c>
      <c r="H188" s="46">
        <v>9.4021173755261866E-2</v>
      </c>
      <c r="I188" s="46">
        <v>0</v>
      </c>
      <c r="J188" s="46">
        <v>9.4021173755261866E-2</v>
      </c>
    </row>
    <row r="189" spans="1:10" ht="11.25" customHeight="1" x14ac:dyDescent="0.2">
      <c r="A189" s="55">
        <v>44621</v>
      </c>
      <c r="B189" s="45">
        <v>4998.2208000000001</v>
      </c>
      <c r="C189" s="45">
        <v>5468.1593863039643</v>
      </c>
      <c r="D189" s="45">
        <v>0</v>
      </c>
      <c r="E189" s="45">
        <v>0</v>
      </c>
      <c r="F189" s="45">
        <v>0</v>
      </c>
      <c r="G189" s="45">
        <v>0</v>
      </c>
      <c r="H189" s="46">
        <v>9.4021173755261866E-2</v>
      </c>
      <c r="I189" s="46">
        <v>0</v>
      </c>
      <c r="J189" s="46">
        <v>9.4021173755261866E-2</v>
      </c>
    </row>
    <row r="190" spans="1:10" ht="11.25" customHeight="1" x14ac:dyDescent="0.2">
      <c r="A190" s="55">
        <v>44652</v>
      </c>
      <c r="B190" s="45">
        <v>4998.2208000000001</v>
      </c>
      <c r="C190" s="45">
        <v>5468.1593863039643</v>
      </c>
      <c r="D190" s="45">
        <v>0</v>
      </c>
      <c r="E190" s="45">
        <v>0</v>
      </c>
      <c r="F190" s="45">
        <v>0</v>
      </c>
      <c r="G190" s="45">
        <v>0</v>
      </c>
      <c r="H190" s="46">
        <v>9.4021173755261866E-2</v>
      </c>
      <c r="I190" s="46">
        <v>0</v>
      </c>
      <c r="J190" s="46">
        <v>9.4021173755261866E-2</v>
      </c>
    </row>
    <row r="191" spans="1:10" ht="11.25" customHeight="1" x14ac:dyDescent="0.2">
      <c r="A191" s="55">
        <v>44682</v>
      </c>
      <c r="B191" s="45">
        <v>5627.1359999999995</v>
      </c>
      <c r="C191" s="45">
        <v>6156.2059316004888</v>
      </c>
      <c r="D191" s="45">
        <v>0</v>
      </c>
      <c r="E191" s="45">
        <v>0</v>
      </c>
      <c r="F191" s="45">
        <v>0</v>
      </c>
      <c r="G191" s="45">
        <v>0</v>
      </c>
      <c r="H191" s="46">
        <v>9.4021173755261866E-2</v>
      </c>
      <c r="I191" s="46">
        <v>0</v>
      </c>
      <c r="J191" s="46">
        <v>9.4021173755261866E-2</v>
      </c>
    </row>
    <row r="192" spans="1:10" ht="11.25" customHeight="1" x14ac:dyDescent="0.2">
      <c r="A192" s="55">
        <v>44713</v>
      </c>
      <c r="B192" s="45">
        <v>5627.1359999999995</v>
      </c>
      <c r="C192" s="45">
        <v>6156.2059316004888</v>
      </c>
      <c r="D192" s="45">
        <v>0</v>
      </c>
      <c r="E192" s="45">
        <v>0</v>
      </c>
      <c r="F192" s="45">
        <v>0</v>
      </c>
      <c r="G192" s="45">
        <v>0</v>
      </c>
      <c r="H192" s="46">
        <v>9.4021173755261866E-2</v>
      </c>
      <c r="I192" s="46">
        <v>0</v>
      </c>
      <c r="J192" s="46">
        <v>9.4021173755261866E-2</v>
      </c>
    </row>
    <row r="193" spans="1:10" ht="11.25" customHeight="1" x14ac:dyDescent="0.2">
      <c r="A193" s="55">
        <v>44743</v>
      </c>
      <c r="B193" s="45">
        <v>5627.1359999999995</v>
      </c>
      <c r="C193" s="45">
        <v>6156.2059316004888</v>
      </c>
      <c r="D193" s="45">
        <v>0</v>
      </c>
      <c r="E193" s="45">
        <v>0</v>
      </c>
      <c r="F193" s="45">
        <v>0</v>
      </c>
      <c r="G193" s="45">
        <v>0</v>
      </c>
      <c r="H193" s="46">
        <v>9.4021173755261866E-2</v>
      </c>
      <c r="I193" s="46">
        <v>0</v>
      </c>
      <c r="J193" s="46">
        <v>9.4021173755261866E-2</v>
      </c>
    </row>
    <row r="194" spans="1:10" ht="11.25" customHeight="1" x14ac:dyDescent="0.2">
      <c r="A194" s="55">
        <v>44774</v>
      </c>
      <c r="B194" s="45">
        <v>5627.1359999999995</v>
      </c>
      <c r="C194" s="45">
        <v>6156.2059316004888</v>
      </c>
      <c r="D194" s="45">
        <v>0</v>
      </c>
      <c r="E194" s="45">
        <v>0</v>
      </c>
      <c r="F194" s="45">
        <v>0</v>
      </c>
      <c r="G194" s="45">
        <v>0</v>
      </c>
      <c r="H194" s="46">
        <v>9.4021173755261866E-2</v>
      </c>
      <c r="I194" s="46">
        <v>0</v>
      </c>
      <c r="J194" s="46">
        <v>9.4021173755261866E-2</v>
      </c>
    </row>
    <row r="195" spans="1:10" ht="11.25" customHeight="1" x14ac:dyDescent="0.2">
      <c r="A195" s="54" t="s">
        <v>37</v>
      </c>
      <c r="B195" s="45">
        <v>0</v>
      </c>
      <c r="C195" s="45">
        <v>0</v>
      </c>
      <c r="D195" s="45">
        <v>12244.395417599999</v>
      </c>
      <c r="E195" s="45">
        <v>12018.004414202327</v>
      </c>
      <c r="F195" s="45">
        <v>687.49359359999994</v>
      </c>
      <c r="G195" s="45">
        <v>625.09784042866272</v>
      </c>
      <c r="H195" s="46">
        <v>-1.8489357430605313E-2</v>
      </c>
      <c r="I195" s="46">
        <v>-9.0758304880496854E-2</v>
      </c>
      <c r="J195" s="46">
        <v>-2.2331366772394778E-2</v>
      </c>
    </row>
    <row r="196" spans="1:10" ht="11.25" customHeight="1" x14ac:dyDescent="0.2">
      <c r="A196" s="55">
        <v>44440</v>
      </c>
      <c r="B196" s="45">
        <v>0</v>
      </c>
      <c r="C196" s="45">
        <v>0</v>
      </c>
      <c r="D196" s="45">
        <v>727.05914879999989</v>
      </c>
      <c r="E196" s="45">
        <v>713.61629232464509</v>
      </c>
      <c r="F196" s="45">
        <v>40.822636799999991</v>
      </c>
      <c r="G196" s="45">
        <v>37.117643483279814</v>
      </c>
      <c r="H196" s="46">
        <v>-1.8489357430605202E-2</v>
      </c>
      <c r="I196" s="46">
        <v>-9.0758304880496521E-2</v>
      </c>
      <c r="J196" s="46">
        <v>-2.2331366772394667E-2</v>
      </c>
    </row>
    <row r="197" spans="1:10" ht="11.25" customHeight="1" x14ac:dyDescent="0.2">
      <c r="A197" s="55">
        <v>44470</v>
      </c>
      <c r="B197" s="45">
        <v>0</v>
      </c>
      <c r="C197" s="45">
        <v>0</v>
      </c>
      <c r="D197" s="45">
        <v>2050.1526527999999</v>
      </c>
      <c r="E197" s="45">
        <v>2012.2466476150769</v>
      </c>
      <c r="F197" s="45">
        <v>115.11118079999999</v>
      </c>
      <c r="G197" s="45">
        <v>104.66388515779963</v>
      </c>
      <c r="H197" s="46">
        <v>-1.8489357430605424E-2</v>
      </c>
      <c r="I197" s="46">
        <v>-9.0758304880496521E-2</v>
      </c>
      <c r="J197" s="46">
        <v>-2.2331366772394889E-2</v>
      </c>
    </row>
    <row r="198" spans="1:10" ht="11.25" customHeight="1" x14ac:dyDescent="0.2">
      <c r="A198" s="55">
        <v>44501</v>
      </c>
      <c r="B198" s="45">
        <v>0</v>
      </c>
      <c r="C198" s="45">
        <v>0</v>
      </c>
      <c r="D198" s="45">
        <v>1693.0458623999998</v>
      </c>
      <c r="E198" s="45">
        <v>1661.7425323036789</v>
      </c>
      <c r="F198" s="45">
        <v>95.060486399999988</v>
      </c>
      <c r="G198" s="45">
        <v>86.432957793220496</v>
      </c>
      <c r="H198" s="46">
        <v>-1.8489357430605202E-2</v>
      </c>
      <c r="I198" s="46">
        <v>-9.0758304880496521E-2</v>
      </c>
      <c r="J198" s="46">
        <v>-2.2331366772394667E-2</v>
      </c>
    </row>
    <row r="199" spans="1:10" ht="11.25" customHeight="1" x14ac:dyDescent="0.2">
      <c r="A199" s="55">
        <v>44531</v>
      </c>
      <c r="B199" s="45">
        <v>0</v>
      </c>
      <c r="C199" s="45">
        <v>0</v>
      </c>
      <c r="D199" s="45">
        <v>3416.9210879999996</v>
      </c>
      <c r="E199" s="45">
        <v>3353.7444126917949</v>
      </c>
      <c r="F199" s="45">
        <v>191.85196799999997</v>
      </c>
      <c r="G199" s="45">
        <v>174.43980859633271</v>
      </c>
      <c r="H199" s="46">
        <v>-1.8489357430605313E-2</v>
      </c>
      <c r="I199" s="46">
        <v>-9.0758304880496521E-2</v>
      </c>
      <c r="J199" s="46">
        <v>-2.2331366772394778E-2</v>
      </c>
    </row>
    <row r="200" spans="1:10" ht="11.25" customHeight="1" x14ac:dyDescent="0.2">
      <c r="A200" s="55">
        <v>44562</v>
      </c>
      <c r="B200" s="45">
        <v>0</v>
      </c>
      <c r="C200" s="45">
        <v>0</v>
      </c>
      <c r="D200" s="45">
        <v>3627.5884031999994</v>
      </c>
      <c r="E200" s="45">
        <v>3560.5166246021158</v>
      </c>
      <c r="F200" s="45">
        <v>203.68043519999998</v>
      </c>
      <c r="G200" s="45">
        <v>185.19474416392612</v>
      </c>
      <c r="H200" s="46">
        <v>-1.8489357430605313E-2</v>
      </c>
      <c r="I200" s="46">
        <v>-9.0758304880496743E-2</v>
      </c>
      <c r="J200" s="46">
        <v>-2.2331366772394778E-2</v>
      </c>
    </row>
    <row r="201" spans="1:10" ht="11.25" customHeight="1" x14ac:dyDescent="0.2">
      <c r="A201" s="55">
        <v>44593</v>
      </c>
      <c r="B201" s="45">
        <v>0</v>
      </c>
      <c r="C201" s="45">
        <v>0</v>
      </c>
      <c r="D201" s="45">
        <v>693.66067199999998</v>
      </c>
      <c r="E201" s="45">
        <v>680.83533189983802</v>
      </c>
      <c r="F201" s="45">
        <v>38.947391999999994</v>
      </c>
      <c r="G201" s="45">
        <v>35.41259272256378</v>
      </c>
      <c r="H201" s="46">
        <v>-1.8489357430605424E-2</v>
      </c>
      <c r="I201" s="46">
        <v>-9.0758304880496632E-2</v>
      </c>
      <c r="J201" s="46">
        <v>-2.2331366772395E-2</v>
      </c>
    </row>
    <row r="202" spans="1:10" ht="11.25" customHeight="1" x14ac:dyDescent="0.2">
      <c r="A202" s="55">
        <v>44743</v>
      </c>
      <c r="B202" s="45">
        <v>0</v>
      </c>
      <c r="C202" s="45">
        <v>0</v>
      </c>
      <c r="D202" s="45">
        <v>17.983795199999999</v>
      </c>
      <c r="E202" s="45">
        <v>17.651286382588395</v>
      </c>
      <c r="F202" s="45">
        <v>1.0097472000000001</v>
      </c>
      <c r="G202" s="45">
        <v>0.91810425577017218</v>
      </c>
      <c r="H202" s="46">
        <v>-1.8489357430605313E-2</v>
      </c>
      <c r="I202" s="46">
        <v>-9.0758304880496743E-2</v>
      </c>
      <c r="J202" s="46">
        <v>-2.2331366772394889E-2</v>
      </c>
    </row>
    <row r="203" spans="1:10" ht="11.25" customHeight="1" x14ac:dyDescent="0.2">
      <c r="A203" s="55">
        <v>44774</v>
      </c>
      <c r="B203" s="45">
        <v>0</v>
      </c>
      <c r="C203" s="45">
        <v>0</v>
      </c>
      <c r="D203" s="45">
        <v>17.983795199999999</v>
      </c>
      <c r="E203" s="45">
        <v>17.651286382588395</v>
      </c>
      <c r="F203" s="45">
        <v>1.0097472000000001</v>
      </c>
      <c r="G203" s="45">
        <v>0.91810425577017218</v>
      </c>
      <c r="H203" s="46">
        <v>-1.8489357430605313E-2</v>
      </c>
      <c r="I203" s="46">
        <v>-9.0758304880496743E-2</v>
      </c>
      <c r="J203" s="46">
        <v>-2.2331366772394889E-2</v>
      </c>
    </row>
    <row r="204" spans="1:10" ht="11.25" customHeight="1" x14ac:dyDescent="0.2">
      <c r="A204" s="50" t="s">
        <v>49</v>
      </c>
      <c r="B204" s="45">
        <v>20046.671999999999</v>
      </c>
      <c r="C204" s="45">
        <v>21931.483631326741</v>
      </c>
      <c r="D204" s="45">
        <v>16234.2868636</v>
      </c>
      <c r="E204" s="45">
        <v>17203.839879876621</v>
      </c>
      <c r="F204" s="45">
        <v>6201.1941375999995</v>
      </c>
      <c r="G204" s="45">
        <v>5638.3842694365494</v>
      </c>
      <c r="H204" s="46">
        <v>7.8673903254169231E-2</v>
      </c>
      <c r="I204" s="46">
        <v>-9.0758304880496743E-2</v>
      </c>
      <c r="J204" s="46">
        <v>5.3941587644467548E-2</v>
      </c>
    </row>
    <row r="205" spans="1:10" ht="11.25" customHeight="1" x14ac:dyDescent="0.2">
      <c r="A205" s="51" t="s">
        <v>50</v>
      </c>
      <c r="B205" s="45">
        <v>20046.671999999999</v>
      </c>
      <c r="C205" s="45">
        <v>21931.483631326741</v>
      </c>
      <c r="D205" s="45">
        <v>16234.2868636</v>
      </c>
      <c r="E205" s="45">
        <v>17203.839879876621</v>
      </c>
      <c r="F205" s="45">
        <v>6201.1941375999995</v>
      </c>
      <c r="G205" s="45">
        <v>5638.3842694365494</v>
      </c>
      <c r="H205" s="46">
        <v>7.8673903254169231E-2</v>
      </c>
      <c r="I205" s="46">
        <v>-9.0758304880496743E-2</v>
      </c>
      <c r="J205" s="46">
        <v>5.3941587644467548E-2</v>
      </c>
    </row>
    <row r="206" spans="1:10" ht="11.25" customHeight="1" x14ac:dyDescent="0.2">
      <c r="A206" s="52" t="s">
        <v>25</v>
      </c>
      <c r="B206" s="45">
        <v>20046.671999999999</v>
      </c>
      <c r="C206" s="45">
        <v>21931.483631326741</v>
      </c>
      <c r="D206" s="45">
        <v>16234.2868636</v>
      </c>
      <c r="E206" s="45">
        <v>17203.839879876621</v>
      </c>
      <c r="F206" s="45">
        <v>6201.1941375999995</v>
      </c>
      <c r="G206" s="45">
        <v>5638.3842694365494</v>
      </c>
      <c r="H206" s="46">
        <v>7.8673903254169231E-2</v>
      </c>
      <c r="I206" s="46">
        <v>-9.0758304880496743E-2</v>
      </c>
      <c r="J206" s="46">
        <v>5.3941587644467548E-2</v>
      </c>
    </row>
    <row r="207" spans="1:10" ht="11.25" customHeight="1" x14ac:dyDescent="0.2">
      <c r="A207" s="53" t="s">
        <v>25</v>
      </c>
      <c r="B207" s="45">
        <v>20046.671999999999</v>
      </c>
      <c r="C207" s="45">
        <v>21931.483631326741</v>
      </c>
      <c r="D207" s="45">
        <v>16234.2868636</v>
      </c>
      <c r="E207" s="45">
        <v>17203.839879876621</v>
      </c>
      <c r="F207" s="45">
        <v>6201.1941375999995</v>
      </c>
      <c r="G207" s="45">
        <v>5638.3842694365494</v>
      </c>
      <c r="H207" s="46">
        <v>7.8673903254169231E-2</v>
      </c>
      <c r="I207" s="46">
        <v>-9.0758304880496743E-2</v>
      </c>
      <c r="J207" s="46">
        <v>5.3941587644467548E-2</v>
      </c>
    </row>
    <row r="208" spans="1:10" ht="11.25" customHeight="1" x14ac:dyDescent="0.2">
      <c r="A208" s="54" t="s">
        <v>38</v>
      </c>
      <c r="B208" s="45">
        <v>0</v>
      </c>
      <c r="C208" s="45">
        <v>0</v>
      </c>
      <c r="D208" s="45">
        <v>2174.6521180000004</v>
      </c>
      <c r="E208" s="45">
        <v>3404.1587464317763</v>
      </c>
      <c r="F208" s="45">
        <v>5411.7791859999998</v>
      </c>
      <c r="G208" s="45">
        <v>4920.615280691085</v>
      </c>
      <c r="H208" s="46">
        <v>0.56538083413660534</v>
      </c>
      <c r="I208" s="46">
        <v>-9.0758304880496743E-2</v>
      </c>
      <c r="J208" s="46">
        <v>9.7324116377823788E-2</v>
      </c>
    </row>
    <row r="209" spans="1:10" ht="11.25" customHeight="1" x14ac:dyDescent="0.2">
      <c r="A209" s="55">
        <v>44501</v>
      </c>
      <c r="B209" s="45">
        <v>0</v>
      </c>
      <c r="C209" s="45">
        <v>0</v>
      </c>
      <c r="D209" s="45">
        <v>191.55555000000001</v>
      </c>
      <c r="E209" s="45">
        <v>299.85738664249629</v>
      </c>
      <c r="F209" s="45">
        <v>476.69984999999997</v>
      </c>
      <c r="G209" s="45">
        <v>433.43537967721295</v>
      </c>
      <c r="H209" s="46">
        <v>0.56538083413660578</v>
      </c>
      <c r="I209" s="46">
        <v>-9.0758304880496632E-2</v>
      </c>
      <c r="J209" s="46">
        <v>9.7324116377823788E-2</v>
      </c>
    </row>
    <row r="210" spans="1:10" ht="11.25" customHeight="1" x14ac:dyDescent="0.2">
      <c r="A210" s="55">
        <v>44531</v>
      </c>
      <c r="B210" s="45">
        <v>0</v>
      </c>
      <c r="C210" s="45">
        <v>0</v>
      </c>
      <c r="D210" s="45">
        <v>132.24427600000001</v>
      </c>
      <c r="E210" s="45">
        <v>207.0126550746715</v>
      </c>
      <c r="F210" s="45">
        <v>329.09945199999999</v>
      </c>
      <c r="G210" s="45">
        <v>299.2309435993796</v>
      </c>
      <c r="H210" s="46">
        <v>0.56538083413660556</v>
      </c>
      <c r="I210" s="46">
        <v>-9.0758304880496743E-2</v>
      </c>
      <c r="J210" s="46">
        <v>9.7324116377823788E-2</v>
      </c>
    </row>
    <row r="211" spans="1:10" ht="11.25" customHeight="1" x14ac:dyDescent="0.2">
      <c r="A211" s="55">
        <v>44562</v>
      </c>
      <c r="B211" s="45">
        <v>0</v>
      </c>
      <c r="C211" s="45">
        <v>0</v>
      </c>
      <c r="D211" s="45">
        <v>142.00651440000001</v>
      </c>
      <c r="E211" s="45">
        <v>222.29427596430392</v>
      </c>
      <c r="F211" s="45">
        <v>353.3934888</v>
      </c>
      <c r="G211" s="45">
        <v>321.32009480070718</v>
      </c>
      <c r="H211" s="46">
        <v>0.56538083413660556</v>
      </c>
      <c r="I211" s="46">
        <v>-9.0758304880496743E-2</v>
      </c>
      <c r="J211" s="46">
        <v>9.7324116377823788E-2</v>
      </c>
    </row>
    <row r="212" spans="1:10" ht="11.25" customHeight="1" x14ac:dyDescent="0.2">
      <c r="A212" s="55">
        <v>44593</v>
      </c>
      <c r="B212" s="45">
        <v>0</v>
      </c>
      <c r="C212" s="45">
        <v>0</v>
      </c>
      <c r="D212" s="45">
        <v>137.12539520000001</v>
      </c>
      <c r="E212" s="45">
        <v>214.65346551948772</v>
      </c>
      <c r="F212" s="45">
        <v>341.24647040000002</v>
      </c>
      <c r="G212" s="45">
        <v>310.27551920004345</v>
      </c>
      <c r="H212" s="46">
        <v>0.56538083413660556</v>
      </c>
      <c r="I212" s="46">
        <v>-9.0758304880496632E-2</v>
      </c>
      <c r="J212" s="46">
        <v>9.732411637782401E-2</v>
      </c>
    </row>
    <row r="213" spans="1:10" ht="11.25" customHeight="1" x14ac:dyDescent="0.2">
      <c r="A213" s="55">
        <v>44621</v>
      </c>
      <c r="B213" s="45">
        <v>0</v>
      </c>
      <c r="C213" s="45">
        <v>0</v>
      </c>
      <c r="D213" s="45">
        <v>126.05774120000001</v>
      </c>
      <c r="E213" s="45">
        <v>197.32837206903238</v>
      </c>
      <c r="F213" s="45">
        <v>313.7038124</v>
      </c>
      <c r="G213" s="45">
        <v>285.23258615202667</v>
      </c>
      <c r="H213" s="46">
        <v>0.56538083413660578</v>
      </c>
      <c r="I213" s="46">
        <v>-9.0758304880496632E-2</v>
      </c>
      <c r="J213" s="46">
        <v>9.732411637782401E-2</v>
      </c>
    </row>
    <row r="214" spans="1:10" ht="11.25" customHeight="1" x14ac:dyDescent="0.2">
      <c r="A214" s="55">
        <v>44652</v>
      </c>
      <c r="B214" s="45">
        <v>0</v>
      </c>
      <c r="C214" s="45">
        <v>0</v>
      </c>
      <c r="D214" s="45">
        <v>266.0209964</v>
      </c>
      <c r="E214" s="45">
        <v>416.424169242483</v>
      </c>
      <c r="F214" s="45">
        <v>662.01250279999999</v>
      </c>
      <c r="G214" s="45">
        <v>601.92937023617696</v>
      </c>
      <c r="H214" s="46">
        <v>0.56538083413660578</v>
      </c>
      <c r="I214" s="46">
        <v>-9.0758304880496632E-2</v>
      </c>
      <c r="J214" s="46">
        <v>9.7324116377823788E-2</v>
      </c>
    </row>
    <row r="215" spans="1:10" ht="11.25" customHeight="1" x14ac:dyDescent="0.2">
      <c r="A215" s="55">
        <v>44682</v>
      </c>
      <c r="B215" s="45">
        <v>0</v>
      </c>
      <c r="C215" s="45">
        <v>0</v>
      </c>
      <c r="D215" s="45">
        <v>281.17516880000005</v>
      </c>
      <c r="E215" s="45">
        <v>440.14622027464497</v>
      </c>
      <c r="F215" s="45">
        <v>699.72475759999998</v>
      </c>
      <c r="G215" s="45">
        <v>636.21892471730757</v>
      </c>
      <c r="H215" s="46">
        <v>0.56538083413660556</v>
      </c>
      <c r="I215" s="46">
        <v>-9.0758304880496632E-2</v>
      </c>
      <c r="J215" s="46">
        <v>9.732411637782401E-2</v>
      </c>
    </row>
    <row r="216" spans="1:10" ht="11.25" customHeight="1" x14ac:dyDescent="0.2">
      <c r="A216" s="55">
        <v>44713</v>
      </c>
      <c r="B216" s="45">
        <v>0</v>
      </c>
      <c r="C216" s="45">
        <v>0</v>
      </c>
      <c r="D216" s="45">
        <v>305.5807648</v>
      </c>
      <c r="E216" s="45">
        <v>478.35027249872593</v>
      </c>
      <c r="F216" s="45">
        <v>760.45984959999987</v>
      </c>
      <c r="G216" s="45">
        <v>691.44180272062647</v>
      </c>
      <c r="H216" s="46">
        <v>0.56538083413660578</v>
      </c>
      <c r="I216" s="46">
        <v>-9.0758304880496632E-2</v>
      </c>
      <c r="J216" s="46">
        <v>9.732411637782401E-2</v>
      </c>
    </row>
    <row r="217" spans="1:10" ht="11.25" customHeight="1" x14ac:dyDescent="0.2">
      <c r="A217" s="55">
        <v>44743</v>
      </c>
      <c r="B217" s="45">
        <v>0</v>
      </c>
      <c r="C217" s="45">
        <v>0</v>
      </c>
      <c r="D217" s="45">
        <v>296.44285560000003</v>
      </c>
      <c r="E217" s="45">
        <v>464.04596457296543</v>
      </c>
      <c r="F217" s="45">
        <v>737.71950119999997</v>
      </c>
      <c r="G217" s="45">
        <v>670.76532979380249</v>
      </c>
      <c r="H217" s="46">
        <v>0.56538083413660578</v>
      </c>
      <c r="I217" s="46">
        <v>-9.0758304880496632E-2</v>
      </c>
      <c r="J217" s="46">
        <v>9.732411637782401E-2</v>
      </c>
    </row>
    <row r="218" spans="1:10" ht="11.25" customHeight="1" x14ac:dyDescent="0.2">
      <c r="A218" s="55">
        <v>44774</v>
      </c>
      <c r="B218" s="45">
        <v>0</v>
      </c>
      <c r="C218" s="45">
        <v>0</v>
      </c>
      <c r="D218" s="45">
        <v>296.44285560000003</v>
      </c>
      <c r="E218" s="45">
        <v>464.04596457296543</v>
      </c>
      <c r="F218" s="45">
        <v>737.71950119999997</v>
      </c>
      <c r="G218" s="45">
        <v>670.76532979380249</v>
      </c>
      <c r="H218" s="46">
        <v>0.56538083413660578</v>
      </c>
      <c r="I218" s="46">
        <v>-9.0758304880496632E-2</v>
      </c>
      <c r="J218" s="46">
        <v>9.732411637782401E-2</v>
      </c>
    </row>
    <row r="219" spans="1:10" ht="11.25" customHeight="1" x14ac:dyDescent="0.2">
      <c r="A219" s="54" t="s">
        <v>25</v>
      </c>
      <c r="B219" s="45">
        <v>20046.671999999999</v>
      </c>
      <c r="C219" s="45">
        <v>21931.483631326741</v>
      </c>
      <c r="D219" s="45">
        <v>0</v>
      </c>
      <c r="E219" s="45">
        <v>0</v>
      </c>
      <c r="F219" s="45">
        <v>0</v>
      </c>
      <c r="G219" s="45">
        <v>0</v>
      </c>
      <c r="H219" s="46">
        <v>9.4021173755261866E-2</v>
      </c>
      <c r="I219" s="46">
        <v>0</v>
      </c>
      <c r="J219" s="46">
        <v>9.4021173755261866E-2</v>
      </c>
    </row>
    <row r="220" spans="1:10" ht="11.25" customHeight="1" x14ac:dyDescent="0.2">
      <c r="A220" s="55">
        <v>44501</v>
      </c>
      <c r="B220" s="45">
        <v>879.2399999999999</v>
      </c>
      <c r="C220" s="45">
        <v>961.90717681257638</v>
      </c>
      <c r="D220" s="45">
        <v>0</v>
      </c>
      <c r="E220" s="45">
        <v>0</v>
      </c>
      <c r="F220" s="45">
        <v>0</v>
      </c>
      <c r="G220" s="45">
        <v>0</v>
      </c>
      <c r="H220" s="46">
        <v>9.4021173755261866E-2</v>
      </c>
      <c r="I220" s="46">
        <v>0</v>
      </c>
      <c r="J220" s="46">
        <v>9.4021173755261866E-2</v>
      </c>
    </row>
    <row r="221" spans="1:10" ht="11.25" customHeight="1" x14ac:dyDescent="0.2">
      <c r="A221" s="55">
        <v>44531</v>
      </c>
      <c r="B221" s="45">
        <v>879.2399999999999</v>
      </c>
      <c r="C221" s="45">
        <v>961.90717681257638</v>
      </c>
      <c r="D221" s="45">
        <v>0</v>
      </c>
      <c r="E221" s="45">
        <v>0</v>
      </c>
      <c r="F221" s="45">
        <v>0</v>
      </c>
      <c r="G221" s="45">
        <v>0</v>
      </c>
      <c r="H221" s="46">
        <v>9.4021173755261866E-2</v>
      </c>
      <c r="I221" s="46">
        <v>0</v>
      </c>
      <c r="J221" s="46">
        <v>9.4021173755261866E-2</v>
      </c>
    </row>
    <row r="222" spans="1:10" ht="11.25" customHeight="1" x14ac:dyDescent="0.2">
      <c r="A222" s="55">
        <v>44562</v>
      </c>
      <c r="B222" s="45">
        <v>2286.0239999999999</v>
      </c>
      <c r="C222" s="45">
        <v>2500.9586597126986</v>
      </c>
      <c r="D222" s="45">
        <v>0</v>
      </c>
      <c r="E222" s="45">
        <v>0</v>
      </c>
      <c r="F222" s="45">
        <v>0</v>
      </c>
      <c r="G222" s="45">
        <v>0</v>
      </c>
      <c r="H222" s="46">
        <v>9.4021173755261866E-2</v>
      </c>
      <c r="I222" s="46">
        <v>0</v>
      </c>
      <c r="J222" s="46">
        <v>9.4021173755261866E-2</v>
      </c>
    </row>
    <row r="223" spans="1:10" ht="11.25" customHeight="1" x14ac:dyDescent="0.2">
      <c r="A223" s="55">
        <v>44593</v>
      </c>
      <c r="B223" s="45">
        <v>2286.0239999999999</v>
      </c>
      <c r="C223" s="45">
        <v>2500.9586597126986</v>
      </c>
      <c r="D223" s="45">
        <v>0</v>
      </c>
      <c r="E223" s="45">
        <v>0</v>
      </c>
      <c r="F223" s="45">
        <v>0</v>
      </c>
      <c r="G223" s="45">
        <v>0</v>
      </c>
      <c r="H223" s="46">
        <v>9.4021173755261866E-2</v>
      </c>
      <c r="I223" s="46">
        <v>0</v>
      </c>
      <c r="J223" s="46">
        <v>9.4021173755261866E-2</v>
      </c>
    </row>
    <row r="224" spans="1:10" ht="11.25" customHeight="1" x14ac:dyDescent="0.2">
      <c r="A224" s="55">
        <v>44621</v>
      </c>
      <c r="B224" s="45">
        <v>2286.0239999999999</v>
      </c>
      <c r="C224" s="45">
        <v>2500.9586597126986</v>
      </c>
      <c r="D224" s="45">
        <v>0</v>
      </c>
      <c r="E224" s="45">
        <v>0</v>
      </c>
      <c r="F224" s="45">
        <v>0</v>
      </c>
      <c r="G224" s="45">
        <v>0</v>
      </c>
      <c r="H224" s="46">
        <v>9.4021173755261866E-2</v>
      </c>
      <c r="I224" s="46">
        <v>0</v>
      </c>
      <c r="J224" s="46">
        <v>9.4021173755261866E-2</v>
      </c>
    </row>
    <row r="225" spans="1:10" ht="11.25" customHeight="1" x14ac:dyDescent="0.2">
      <c r="A225" s="55">
        <v>44652</v>
      </c>
      <c r="B225" s="45">
        <v>2286.0239999999999</v>
      </c>
      <c r="C225" s="45">
        <v>2500.9586597126986</v>
      </c>
      <c r="D225" s="45">
        <v>0</v>
      </c>
      <c r="E225" s="45">
        <v>0</v>
      </c>
      <c r="F225" s="45">
        <v>0</v>
      </c>
      <c r="G225" s="45">
        <v>0</v>
      </c>
      <c r="H225" s="46">
        <v>9.4021173755261866E-2</v>
      </c>
      <c r="I225" s="46">
        <v>0</v>
      </c>
      <c r="J225" s="46">
        <v>9.4021173755261866E-2</v>
      </c>
    </row>
    <row r="226" spans="1:10" ht="11.25" customHeight="1" x14ac:dyDescent="0.2">
      <c r="A226" s="55">
        <v>44682</v>
      </c>
      <c r="B226" s="45">
        <v>2286.0239999999999</v>
      </c>
      <c r="C226" s="45">
        <v>2500.9586597126986</v>
      </c>
      <c r="D226" s="45">
        <v>0</v>
      </c>
      <c r="E226" s="45">
        <v>0</v>
      </c>
      <c r="F226" s="45">
        <v>0</v>
      </c>
      <c r="G226" s="45">
        <v>0</v>
      </c>
      <c r="H226" s="46">
        <v>9.4021173755261866E-2</v>
      </c>
      <c r="I226" s="46">
        <v>0</v>
      </c>
      <c r="J226" s="46">
        <v>9.4021173755261866E-2</v>
      </c>
    </row>
    <row r="227" spans="1:10" ht="11.25" customHeight="1" x14ac:dyDescent="0.2">
      <c r="A227" s="55">
        <v>44713</v>
      </c>
      <c r="B227" s="45">
        <v>2286.0239999999999</v>
      </c>
      <c r="C227" s="45">
        <v>2500.9586597126986</v>
      </c>
      <c r="D227" s="45">
        <v>0</v>
      </c>
      <c r="E227" s="45">
        <v>0</v>
      </c>
      <c r="F227" s="45">
        <v>0</v>
      </c>
      <c r="G227" s="45">
        <v>0</v>
      </c>
      <c r="H227" s="46">
        <v>9.4021173755261866E-2</v>
      </c>
      <c r="I227" s="46">
        <v>0</v>
      </c>
      <c r="J227" s="46">
        <v>9.4021173755261866E-2</v>
      </c>
    </row>
    <row r="228" spans="1:10" ht="11.25" customHeight="1" x14ac:dyDescent="0.2">
      <c r="A228" s="55">
        <v>44743</v>
      </c>
      <c r="B228" s="45">
        <v>2286.0239999999999</v>
      </c>
      <c r="C228" s="45">
        <v>2500.9586597126986</v>
      </c>
      <c r="D228" s="45">
        <v>0</v>
      </c>
      <c r="E228" s="45">
        <v>0</v>
      </c>
      <c r="F228" s="45">
        <v>0</v>
      </c>
      <c r="G228" s="45">
        <v>0</v>
      </c>
      <c r="H228" s="46">
        <v>9.4021173755261866E-2</v>
      </c>
      <c r="I228" s="46">
        <v>0</v>
      </c>
      <c r="J228" s="46">
        <v>9.4021173755261866E-2</v>
      </c>
    </row>
    <row r="229" spans="1:10" ht="11.25" customHeight="1" x14ac:dyDescent="0.2">
      <c r="A229" s="55">
        <v>44774</v>
      </c>
      <c r="B229" s="45">
        <v>2286.0239999999999</v>
      </c>
      <c r="C229" s="45">
        <v>2500.9586597126986</v>
      </c>
      <c r="D229" s="45">
        <v>0</v>
      </c>
      <c r="E229" s="45">
        <v>0</v>
      </c>
      <c r="F229" s="45">
        <v>0</v>
      </c>
      <c r="G229" s="45">
        <v>0</v>
      </c>
      <c r="H229" s="46">
        <v>9.4021173755261866E-2</v>
      </c>
      <c r="I229" s="46">
        <v>0</v>
      </c>
      <c r="J229" s="46">
        <v>9.4021173755261866E-2</v>
      </c>
    </row>
    <row r="230" spans="1:10" ht="11.25" customHeight="1" x14ac:dyDescent="0.2">
      <c r="A230" s="54" t="s">
        <v>37</v>
      </c>
      <c r="B230" s="45">
        <v>0</v>
      </c>
      <c r="C230" s="45">
        <v>0</v>
      </c>
      <c r="D230" s="45">
        <v>14059.634745599998</v>
      </c>
      <c r="E230" s="45">
        <v>13799.681133444845</v>
      </c>
      <c r="F230" s="45">
        <v>789.41495159999999</v>
      </c>
      <c r="G230" s="45">
        <v>717.76898874546453</v>
      </c>
      <c r="H230" s="46">
        <v>-1.8489357430605202E-2</v>
      </c>
      <c r="I230" s="46">
        <v>-9.0758304880496854E-2</v>
      </c>
      <c r="J230" s="46">
        <v>-2.2331366772394556E-2</v>
      </c>
    </row>
    <row r="231" spans="1:10" ht="11.25" customHeight="1" x14ac:dyDescent="0.2">
      <c r="A231" s="55">
        <v>44501</v>
      </c>
      <c r="B231" s="45">
        <v>0</v>
      </c>
      <c r="C231" s="45">
        <v>0</v>
      </c>
      <c r="D231" s="45">
        <v>1441.4332992</v>
      </c>
      <c r="E231" s="45">
        <v>1414.7821237187145</v>
      </c>
      <c r="F231" s="45">
        <v>80.933041199999991</v>
      </c>
      <c r="G231" s="45">
        <v>73.5876955718646</v>
      </c>
      <c r="H231" s="46">
        <v>-1.8489357430605313E-2</v>
      </c>
      <c r="I231" s="46">
        <v>-9.0758304880496632E-2</v>
      </c>
      <c r="J231" s="46">
        <v>-2.2331366772394889E-2</v>
      </c>
    </row>
    <row r="232" spans="1:10" ht="11.25" customHeight="1" x14ac:dyDescent="0.2">
      <c r="A232" s="55">
        <v>44531</v>
      </c>
      <c r="B232" s="45">
        <v>0</v>
      </c>
      <c r="C232" s="45">
        <v>0</v>
      </c>
      <c r="D232" s="45">
        <v>1016.2985216</v>
      </c>
      <c r="E232" s="45">
        <v>997.50781497794173</v>
      </c>
      <c r="F232" s="45">
        <v>57.062737599999991</v>
      </c>
      <c r="G232" s="45">
        <v>51.883820263583416</v>
      </c>
      <c r="H232" s="46">
        <v>-1.8489357430605424E-2</v>
      </c>
      <c r="I232" s="46">
        <v>-9.0758304880496632E-2</v>
      </c>
      <c r="J232" s="46">
        <v>-2.2331366772394889E-2</v>
      </c>
    </row>
    <row r="233" spans="1:10" ht="11.25" customHeight="1" x14ac:dyDescent="0.2">
      <c r="A233" s="55">
        <v>44562</v>
      </c>
      <c r="B233" s="45">
        <v>0</v>
      </c>
      <c r="C233" s="45">
        <v>0</v>
      </c>
      <c r="D233" s="45">
        <v>1209.9989823999999</v>
      </c>
      <c r="E233" s="45">
        <v>1187.6268787237375</v>
      </c>
      <c r="F233" s="45">
        <v>67.938556399999996</v>
      </c>
      <c r="G233" s="45">
        <v>61.772568185107978</v>
      </c>
      <c r="H233" s="46">
        <v>-1.8489357430605424E-2</v>
      </c>
      <c r="I233" s="46">
        <v>-9.0758304880496632E-2</v>
      </c>
      <c r="J233" s="46">
        <v>-2.2331366772394889E-2</v>
      </c>
    </row>
    <row r="234" spans="1:10" ht="11.25" customHeight="1" x14ac:dyDescent="0.2">
      <c r="A234" s="55">
        <v>44593</v>
      </c>
      <c r="B234" s="45">
        <v>0</v>
      </c>
      <c r="C234" s="45">
        <v>0</v>
      </c>
      <c r="D234" s="45">
        <v>1074.1571008000001</v>
      </c>
      <c r="E234" s="45">
        <v>1054.2966262266859</v>
      </c>
      <c r="F234" s="45">
        <v>60.311358800000001</v>
      </c>
      <c r="G234" s="45">
        <v>54.837602110272577</v>
      </c>
      <c r="H234" s="46">
        <v>-1.8489357430605535E-2</v>
      </c>
      <c r="I234" s="46">
        <v>-9.0758304880496632E-2</v>
      </c>
      <c r="J234" s="46">
        <v>-2.2331366772395E-2</v>
      </c>
    </row>
    <row r="235" spans="1:10" ht="11.25" customHeight="1" x14ac:dyDescent="0.2">
      <c r="A235" s="55">
        <v>44621</v>
      </c>
      <c r="B235" s="45">
        <v>0</v>
      </c>
      <c r="C235" s="45">
        <v>0</v>
      </c>
      <c r="D235" s="45">
        <v>1016.2985216</v>
      </c>
      <c r="E235" s="45">
        <v>997.50781497794173</v>
      </c>
      <c r="F235" s="45">
        <v>57.062737599999991</v>
      </c>
      <c r="G235" s="45">
        <v>51.883820263583416</v>
      </c>
      <c r="H235" s="46">
        <v>-1.8489357430605424E-2</v>
      </c>
      <c r="I235" s="46">
        <v>-9.0758304880496632E-2</v>
      </c>
      <c r="J235" s="46">
        <v>-2.2331366772394889E-2</v>
      </c>
    </row>
    <row r="236" spans="1:10" ht="11.25" customHeight="1" x14ac:dyDescent="0.2">
      <c r="A236" s="55">
        <v>44652</v>
      </c>
      <c r="B236" s="45">
        <v>0</v>
      </c>
      <c r="C236" s="45">
        <v>0</v>
      </c>
      <c r="D236" s="45">
        <v>1723.1794239999999</v>
      </c>
      <c r="E236" s="45">
        <v>1691.3189437125993</v>
      </c>
      <c r="F236" s="45">
        <v>96.752414000000002</v>
      </c>
      <c r="G236" s="45">
        <v>87.971328912263971</v>
      </c>
      <c r="H236" s="46">
        <v>-1.8489357430605313E-2</v>
      </c>
      <c r="I236" s="46">
        <v>-9.0758304880496632E-2</v>
      </c>
      <c r="J236" s="46">
        <v>-2.2331366772394889E-2</v>
      </c>
    </row>
    <row r="237" spans="1:10" ht="11.25" customHeight="1" x14ac:dyDescent="0.2">
      <c r="A237" s="55">
        <v>44682</v>
      </c>
      <c r="B237" s="45">
        <v>0</v>
      </c>
      <c r="C237" s="45">
        <v>0</v>
      </c>
      <c r="D237" s="45">
        <v>1509.3542399999997</v>
      </c>
      <c r="E237" s="45">
        <v>1481.4472499672402</v>
      </c>
      <c r="F237" s="45">
        <v>84.746639999999985</v>
      </c>
      <c r="G237" s="45">
        <v>77.055178609282294</v>
      </c>
      <c r="H237" s="46">
        <v>-1.8489357430605202E-2</v>
      </c>
      <c r="I237" s="46">
        <v>-9.0758304880496632E-2</v>
      </c>
      <c r="J237" s="46">
        <v>-2.2331366772394667E-2</v>
      </c>
    </row>
    <row r="238" spans="1:10" ht="11.25" customHeight="1" x14ac:dyDescent="0.2">
      <c r="A238" s="55">
        <v>44713</v>
      </c>
      <c r="B238" s="45">
        <v>0</v>
      </c>
      <c r="C238" s="45">
        <v>0</v>
      </c>
      <c r="D238" s="45">
        <v>1753.3665087999998</v>
      </c>
      <c r="E238" s="45">
        <v>1720.9478887119442</v>
      </c>
      <c r="F238" s="45">
        <v>98.447346799999991</v>
      </c>
      <c r="G238" s="45">
        <v>89.512432484449604</v>
      </c>
      <c r="H238" s="46">
        <v>-1.8489357430605202E-2</v>
      </c>
      <c r="I238" s="46">
        <v>-9.0758304880496632E-2</v>
      </c>
      <c r="J238" s="46">
        <v>-2.2331366772394778E-2</v>
      </c>
    </row>
    <row r="239" spans="1:10" ht="11.25" customHeight="1" x14ac:dyDescent="0.2">
      <c r="A239" s="55">
        <v>44743</v>
      </c>
      <c r="B239" s="45">
        <v>0</v>
      </c>
      <c r="C239" s="45">
        <v>0</v>
      </c>
      <c r="D239" s="45">
        <v>1657.7740735999998</v>
      </c>
      <c r="E239" s="45">
        <v>1627.122896214019</v>
      </c>
      <c r="F239" s="45">
        <v>93.080059599999998</v>
      </c>
      <c r="G239" s="45">
        <v>84.632271172528405</v>
      </c>
      <c r="H239" s="46">
        <v>-1.8489357430605202E-2</v>
      </c>
      <c r="I239" s="46">
        <v>-9.0758304880496632E-2</v>
      </c>
      <c r="J239" s="46">
        <v>-2.2331366772394667E-2</v>
      </c>
    </row>
    <row r="240" spans="1:10" ht="11.25" customHeight="1" x14ac:dyDescent="0.2">
      <c r="A240" s="55">
        <v>44774</v>
      </c>
      <c r="B240" s="45">
        <v>0</v>
      </c>
      <c r="C240" s="45">
        <v>0</v>
      </c>
      <c r="D240" s="45">
        <v>1657.7740735999998</v>
      </c>
      <c r="E240" s="45">
        <v>1627.122896214019</v>
      </c>
      <c r="F240" s="45">
        <v>93.080059599999998</v>
      </c>
      <c r="G240" s="45">
        <v>84.632271172528405</v>
      </c>
      <c r="H240" s="46">
        <v>-1.8489357430605202E-2</v>
      </c>
      <c r="I240" s="46">
        <v>-9.0758304880496632E-2</v>
      </c>
      <c r="J240" s="46">
        <v>-2.2331366772394667E-2</v>
      </c>
    </row>
    <row r="241" spans="1:10" ht="11.25" customHeight="1" x14ac:dyDescent="0.2">
      <c r="A241" s="48" t="s">
        <v>22</v>
      </c>
      <c r="B241" s="45">
        <v>0</v>
      </c>
      <c r="C241" s="45">
        <v>0</v>
      </c>
      <c r="D241" s="45">
        <v>15568361.839269994</v>
      </c>
      <c r="E241" s="45">
        <v>18292019.575969212</v>
      </c>
      <c r="F241" s="45">
        <v>4682687.6885400033</v>
      </c>
      <c r="G241" s="45">
        <v>4257690.8754736735</v>
      </c>
      <c r="H241" s="46">
        <v>0.1749482549813941</v>
      </c>
      <c r="I241" s="46">
        <v>-9.0759162543858518E-2</v>
      </c>
      <c r="J241" s="46">
        <v>0.11350823672008814</v>
      </c>
    </row>
    <row r="242" spans="1:10" ht="11.25" customHeight="1" x14ac:dyDescent="0.2">
      <c r="A242" s="49" t="s">
        <v>23</v>
      </c>
      <c r="B242" s="45">
        <v>0</v>
      </c>
      <c r="C242" s="45">
        <v>0</v>
      </c>
      <c r="D242" s="45">
        <v>15568361.839269994</v>
      </c>
      <c r="E242" s="45">
        <v>18292019.575969212</v>
      </c>
      <c r="F242" s="45">
        <v>4682687.6885400033</v>
      </c>
      <c r="G242" s="45">
        <v>4257690.8754736735</v>
      </c>
      <c r="H242" s="46">
        <v>0.1749482549813941</v>
      </c>
      <c r="I242" s="46">
        <v>-9.0759162543858518E-2</v>
      </c>
      <c r="J242" s="46">
        <v>0.11350823672008814</v>
      </c>
    </row>
    <row r="243" spans="1:10" ht="11.25" customHeight="1" x14ac:dyDescent="0.2">
      <c r="A243" s="50" t="s">
        <v>24</v>
      </c>
      <c r="B243" s="45">
        <v>0</v>
      </c>
      <c r="C243" s="45">
        <v>0</v>
      </c>
      <c r="D243" s="45">
        <v>15568361.839269994</v>
      </c>
      <c r="E243" s="45">
        <v>18292019.575969212</v>
      </c>
      <c r="F243" s="45">
        <v>4682687.6885400033</v>
      </c>
      <c r="G243" s="45">
        <v>4257690.8754736735</v>
      </c>
      <c r="H243" s="46">
        <v>0.1749482549813941</v>
      </c>
      <c r="I243" s="46">
        <v>-9.0759162543858518E-2</v>
      </c>
      <c r="J243" s="46">
        <v>0.11350823672008814</v>
      </c>
    </row>
    <row r="244" spans="1:10" ht="11.25" customHeight="1" x14ac:dyDescent="0.2">
      <c r="A244" s="51" t="s">
        <v>24</v>
      </c>
      <c r="B244" s="45">
        <v>0</v>
      </c>
      <c r="C244" s="45">
        <v>0</v>
      </c>
      <c r="D244" s="45">
        <v>15130772.407799998</v>
      </c>
      <c r="E244" s="45">
        <v>17808038.624957062</v>
      </c>
      <c r="F244" s="45">
        <v>4533680.0311000003</v>
      </c>
      <c r="G244" s="45">
        <v>4122210.9166068067</v>
      </c>
      <c r="H244" s="46">
        <v>0.17694180739754684</v>
      </c>
      <c r="I244" s="46">
        <v>-9.0758304880496743E-2</v>
      </c>
      <c r="J244" s="46">
        <v>0.1152229948789063</v>
      </c>
    </row>
    <row r="245" spans="1:10" ht="11.25" customHeight="1" x14ac:dyDescent="0.2">
      <c r="A245" s="52" t="s">
        <v>25</v>
      </c>
      <c r="B245" s="45">
        <v>0</v>
      </c>
      <c r="C245" s="45">
        <v>0</v>
      </c>
      <c r="D245" s="45">
        <v>15130772.407799998</v>
      </c>
      <c r="E245" s="45">
        <v>17808038.624957062</v>
      </c>
      <c r="F245" s="45">
        <v>4533680.0311000003</v>
      </c>
      <c r="G245" s="45">
        <v>4122210.9166068067</v>
      </c>
      <c r="H245" s="46">
        <v>0.17694180739754684</v>
      </c>
      <c r="I245" s="46">
        <v>-9.0758304880496743E-2</v>
      </c>
      <c r="J245" s="46">
        <v>0.1152229948789063</v>
      </c>
    </row>
    <row r="246" spans="1:10" ht="11.25" customHeight="1" x14ac:dyDescent="0.2">
      <c r="A246" s="53" t="s">
        <v>25</v>
      </c>
      <c r="B246" s="45">
        <v>0</v>
      </c>
      <c r="C246" s="45">
        <v>0</v>
      </c>
      <c r="D246" s="45">
        <v>15130772.407799998</v>
      </c>
      <c r="E246" s="45">
        <v>17808038.624957062</v>
      </c>
      <c r="F246" s="45">
        <v>4533680.0311000003</v>
      </c>
      <c r="G246" s="45">
        <v>4122210.9166068067</v>
      </c>
      <c r="H246" s="46">
        <v>0.17694180739754684</v>
      </c>
      <c r="I246" s="46">
        <v>-9.0758304880496743E-2</v>
      </c>
      <c r="J246" s="46">
        <v>0.1152229948789063</v>
      </c>
    </row>
    <row r="247" spans="1:10" ht="11.25" customHeight="1" x14ac:dyDescent="0.2">
      <c r="A247" s="54" t="s">
        <v>25</v>
      </c>
      <c r="B247" s="45">
        <v>0</v>
      </c>
      <c r="C247" s="45">
        <v>0</v>
      </c>
      <c r="D247" s="45">
        <v>15130772.407799998</v>
      </c>
      <c r="E247" s="45">
        <v>17808038.624957062</v>
      </c>
      <c r="F247" s="45">
        <v>4533680.0311000003</v>
      </c>
      <c r="G247" s="45">
        <v>4122210.9166068067</v>
      </c>
      <c r="H247" s="46">
        <v>0.17694180739754684</v>
      </c>
      <c r="I247" s="46">
        <v>-9.0758304880496743E-2</v>
      </c>
      <c r="J247" s="46">
        <v>0.1152229948789063</v>
      </c>
    </row>
    <row r="248" spans="1:10" ht="11.25" customHeight="1" x14ac:dyDescent="0.2">
      <c r="A248" s="55">
        <v>44440</v>
      </c>
      <c r="B248" s="45">
        <v>0</v>
      </c>
      <c r="C248" s="45">
        <v>0</v>
      </c>
      <c r="D248" s="45">
        <v>1182006.41328</v>
      </c>
      <c r="E248" s="45">
        <v>1391152.7644012545</v>
      </c>
      <c r="F248" s="45">
        <v>354168.22935999994</v>
      </c>
      <c r="G248" s="45">
        <v>322024.52122075943</v>
      </c>
      <c r="H248" s="46">
        <v>0.17694180739754639</v>
      </c>
      <c r="I248" s="46">
        <v>-9.0758304880496521E-2</v>
      </c>
      <c r="J248" s="46">
        <v>0.11522299487890608</v>
      </c>
    </row>
    <row r="249" spans="1:10" ht="11.25" customHeight="1" x14ac:dyDescent="0.2">
      <c r="A249" s="55">
        <v>44470</v>
      </c>
      <c r="B249" s="45">
        <v>0</v>
      </c>
      <c r="C249" s="45">
        <v>0</v>
      </c>
      <c r="D249" s="45">
        <v>1167717.2421600001</v>
      </c>
      <c r="E249" s="45">
        <v>1374335.2415170691</v>
      </c>
      <c r="F249" s="45">
        <v>349886.72091999993</v>
      </c>
      <c r="G249" s="45">
        <v>318131.59522910538</v>
      </c>
      <c r="H249" s="46">
        <v>0.17694180739754639</v>
      </c>
      <c r="I249" s="46">
        <v>-9.0758304880496521E-2</v>
      </c>
      <c r="J249" s="46">
        <v>0.11522299487890586</v>
      </c>
    </row>
    <row r="250" spans="1:10" ht="11.25" customHeight="1" x14ac:dyDescent="0.2">
      <c r="A250" s="55">
        <v>44501</v>
      </c>
      <c r="B250" s="45">
        <v>0</v>
      </c>
      <c r="C250" s="45">
        <v>0</v>
      </c>
      <c r="D250" s="45">
        <v>1149600.77568</v>
      </c>
      <c r="E250" s="45">
        <v>1353013.214714441</v>
      </c>
      <c r="F250" s="45">
        <v>344458.42816000001</v>
      </c>
      <c r="G250" s="45">
        <v>313195.96511839807</v>
      </c>
      <c r="H250" s="46">
        <v>0.17694180739754684</v>
      </c>
      <c r="I250" s="46">
        <v>-9.0758304880496632E-2</v>
      </c>
      <c r="J250" s="46">
        <v>0.11522299487890608</v>
      </c>
    </row>
    <row r="251" spans="1:10" ht="11.25" customHeight="1" x14ac:dyDescent="0.2">
      <c r="A251" s="55">
        <v>44531</v>
      </c>
      <c r="B251" s="45">
        <v>0</v>
      </c>
      <c r="C251" s="45">
        <v>0</v>
      </c>
      <c r="D251" s="45">
        <v>1231122.3674399999</v>
      </c>
      <c r="E251" s="45">
        <v>1448959.3842623802</v>
      </c>
      <c r="F251" s="45">
        <v>368884.99427999998</v>
      </c>
      <c r="G251" s="45">
        <v>335405.61750329548</v>
      </c>
      <c r="H251" s="46">
        <v>0.17694180739754684</v>
      </c>
      <c r="I251" s="46">
        <v>-9.0758304880496632E-2</v>
      </c>
      <c r="J251" s="46">
        <v>0.11522299487890608</v>
      </c>
    </row>
    <row r="252" spans="1:10" ht="11.25" customHeight="1" x14ac:dyDescent="0.2">
      <c r="A252" s="55">
        <v>44562</v>
      </c>
      <c r="B252" s="45">
        <v>0</v>
      </c>
      <c r="C252" s="45">
        <v>0</v>
      </c>
      <c r="D252" s="45">
        <v>1496330.0654400003</v>
      </c>
      <c r="E252" s="45">
        <v>1761093.411682243</v>
      </c>
      <c r="F252" s="45">
        <v>448349.99528000003</v>
      </c>
      <c r="G252" s="45">
        <v>407658.50971520849</v>
      </c>
      <c r="H252" s="46">
        <v>0.17694180739754661</v>
      </c>
      <c r="I252" s="46">
        <v>-9.0758304880496743E-2</v>
      </c>
      <c r="J252" s="46">
        <v>0.11522299487890586</v>
      </c>
    </row>
    <row r="253" spans="1:10" ht="11.25" customHeight="1" x14ac:dyDescent="0.2">
      <c r="A253" s="55">
        <v>44593</v>
      </c>
      <c r="B253" s="45">
        <v>0</v>
      </c>
      <c r="C253" s="45">
        <v>0</v>
      </c>
      <c r="D253" s="45">
        <v>1510512.9227999998</v>
      </c>
      <c r="E253" s="45">
        <v>1777785.8094575829</v>
      </c>
      <c r="F253" s="45">
        <v>452599.64860000001</v>
      </c>
      <c r="G253" s="45">
        <v>411522.47170355549</v>
      </c>
      <c r="H253" s="46">
        <v>0.17694180739754684</v>
      </c>
      <c r="I253" s="46">
        <v>-9.0758304880496854E-2</v>
      </c>
      <c r="J253" s="46">
        <v>0.11522299487890608</v>
      </c>
    </row>
    <row r="254" spans="1:10" ht="11.25" customHeight="1" x14ac:dyDescent="0.2">
      <c r="A254" s="55">
        <v>44621</v>
      </c>
      <c r="B254" s="45">
        <v>0</v>
      </c>
      <c r="C254" s="45">
        <v>0</v>
      </c>
      <c r="D254" s="45">
        <v>1389655.2398400002</v>
      </c>
      <c r="E254" s="45">
        <v>1635543.349636761</v>
      </c>
      <c r="F254" s="45">
        <v>416386.68808000005</v>
      </c>
      <c r="G254" s="45">
        <v>378596.13809505507</v>
      </c>
      <c r="H254" s="46">
        <v>0.17694180739754661</v>
      </c>
      <c r="I254" s="46">
        <v>-9.0758304880496854E-2</v>
      </c>
      <c r="J254" s="46">
        <v>0.11522299487890608</v>
      </c>
    </row>
    <row r="255" spans="1:10" ht="11.25" customHeight="1" x14ac:dyDescent="0.2">
      <c r="A255" s="55">
        <v>44652</v>
      </c>
      <c r="B255" s="45">
        <v>0</v>
      </c>
      <c r="C255" s="45">
        <v>0</v>
      </c>
      <c r="D255" s="45">
        <v>1215467.66628</v>
      </c>
      <c r="E255" s="45">
        <v>1430534.7119848612</v>
      </c>
      <c r="F255" s="45">
        <v>364194.32786000002</v>
      </c>
      <c r="G255" s="45">
        <v>331140.66801633459</v>
      </c>
      <c r="H255" s="46">
        <v>0.17694180739754661</v>
      </c>
      <c r="I255" s="46">
        <v>-9.0758304880496632E-2</v>
      </c>
      <c r="J255" s="46">
        <v>0.11522299487890608</v>
      </c>
    </row>
    <row r="256" spans="1:10" ht="11.25" customHeight="1" x14ac:dyDescent="0.2">
      <c r="A256" s="55">
        <v>44682</v>
      </c>
      <c r="B256" s="45">
        <v>0</v>
      </c>
      <c r="C256" s="45">
        <v>0</v>
      </c>
      <c r="D256" s="45">
        <v>1110204.50688</v>
      </c>
      <c r="E256" s="45">
        <v>1306646.0989082495</v>
      </c>
      <c r="F256" s="45">
        <v>332654.00255999999</v>
      </c>
      <c r="G256" s="45">
        <v>302462.88917594199</v>
      </c>
      <c r="H256" s="46">
        <v>0.17694180739754684</v>
      </c>
      <c r="I256" s="46">
        <v>-9.0758304880496632E-2</v>
      </c>
      <c r="J256" s="46">
        <v>0.1152229948789063</v>
      </c>
    </row>
    <row r="257" spans="1:10" ht="11.25" customHeight="1" x14ac:dyDescent="0.2">
      <c r="A257" s="55">
        <v>44713</v>
      </c>
      <c r="B257" s="45">
        <v>0</v>
      </c>
      <c r="C257" s="45">
        <v>0</v>
      </c>
      <c r="D257" s="45">
        <v>1256300.6752799999</v>
      </c>
      <c r="E257" s="45">
        <v>1478592.7873988017</v>
      </c>
      <c r="F257" s="45">
        <v>376429.24836000003</v>
      </c>
      <c r="G257" s="45">
        <v>342265.16787140688</v>
      </c>
      <c r="H257" s="46">
        <v>0.17694180739754684</v>
      </c>
      <c r="I257" s="46">
        <v>-9.0758304880496854E-2</v>
      </c>
      <c r="J257" s="46">
        <v>0.11522299487890608</v>
      </c>
    </row>
    <row r="258" spans="1:10" ht="11.25" customHeight="1" x14ac:dyDescent="0.2">
      <c r="A258" s="55">
        <v>44743</v>
      </c>
      <c r="B258" s="45">
        <v>0</v>
      </c>
      <c r="C258" s="45">
        <v>0</v>
      </c>
      <c r="D258" s="45">
        <v>1210927.2663600002</v>
      </c>
      <c r="E258" s="45">
        <v>1425190.9254967088</v>
      </c>
      <c r="F258" s="45">
        <v>362833.87381999998</v>
      </c>
      <c r="G258" s="45">
        <v>329903.68647887278</v>
      </c>
      <c r="H258" s="46">
        <v>0.17694180739754639</v>
      </c>
      <c r="I258" s="46">
        <v>-9.0758304880496632E-2</v>
      </c>
      <c r="J258" s="46">
        <v>0.11522299487890608</v>
      </c>
    </row>
    <row r="259" spans="1:10" ht="11.25" customHeight="1" x14ac:dyDescent="0.2">
      <c r="A259" s="55">
        <v>44774</v>
      </c>
      <c r="B259" s="45">
        <v>0</v>
      </c>
      <c r="C259" s="45">
        <v>0</v>
      </c>
      <c r="D259" s="45">
        <v>1210927.2663600002</v>
      </c>
      <c r="E259" s="45">
        <v>1425190.9254967088</v>
      </c>
      <c r="F259" s="45">
        <v>362833.87381999998</v>
      </c>
      <c r="G259" s="45">
        <v>329903.68647887278</v>
      </c>
      <c r="H259" s="46">
        <v>0.17694180739754639</v>
      </c>
      <c r="I259" s="46">
        <v>-9.0758304880496632E-2</v>
      </c>
      <c r="J259" s="46">
        <v>0.11522299487890608</v>
      </c>
    </row>
    <row r="260" spans="1:10" ht="11.25" customHeight="1" x14ac:dyDescent="0.2">
      <c r="A260" s="51" t="s">
        <v>29</v>
      </c>
      <c r="B260" s="45">
        <v>0</v>
      </c>
      <c r="C260" s="45">
        <v>0</v>
      </c>
      <c r="D260" s="45">
        <v>29620.112099999998</v>
      </c>
      <c r="E260" s="45">
        <v>32759.915243226147</v>
      </c>
      <c r="F260" s="45">
        <v>10085.605019999999</v>
      </c>
      <c r="G260" s="45">
        <v>9170.4269772443786</v>
      </c>
      <c r="H260" s="46">
        <v>0.10600240581892173</v>
      </c>
      <c r="I260" s="46">
        <v>-9.0741015629781319E-2</v>
      </c>
      <c r="J260" s="46">
        <v>5.602782827841124E-2</v>
      </c>
    </row>
    <row r="261" spans="1:10" ht="11.25" customHeight="1" x14ac:dyDescent="0.2">
      <c r="A261" s="52" t="s">
        <v>25</v>
      </c>
      <c r="B261" s="45">
        <v>0</v>
      </c>
      <c r="C261" s="45">
        <v>0</v>
      </c>
      <c r="D261" s="45">
        <v>29620.112099999998</v>
      </c>
      <c r="E261" s="45">
        <v>32759.915243226147</v>
      </c>
      <c r="F261" s="45">
        <v>10085.605019999999</v>
      </c>
      <c r="G261" s="45">
        <v>9170.4269772443786</v>
      </c>
      <c r="H261" s="46">
        <v>0.10600240581892173</v>
      </c>
      <c r="I261" s="46">
        <v>-9.0741015629781319E-2</v>
      </c>
      <c r="J261" s="46">
        <v>5.602782827841124E-2</v>
      </c>
    </row>
    <row r="262" spans="1:10" ht="11.25" customHeight="1" x14ac:dyDescent="0.2">
      <c r="A262" s="53" t="s">
        <v>25</v>
      </c>
      <c r="B262" s="45">
        <v>0</v>
      </c>
      <c r="C262" s="45">
        <v>0</v>
      </c>
      <c r="D262" s="45">
        <v>29620.112099999998</v>
      </c>
      <c r="E262" s="45">
        <v>32759.915243226147</v>
      </c>
      <c r="F262" s="45">
        <v>10085.605019999999</v>
      </c>
      <c r="G262" s="45">
        <v>9170.4269772443786</v>
      </c>
      <c r="H262" s="46">
        <v>0.10600240581892173</v>
      </c>
      <c r="I262" s="46">
        <v>-9.0741015629781319E-2</v>
      </c>
      <c r="J262" s="46">
        <v>5.602782827841124E-2</v>
      </c>
    </row>
    <row r="263" spans="1:10" ht="11.25" customHeight="1" x14ac:dyDescent="0.2">
      <c r="A263" s="54" t="s">
        <v>25</v>
      </c>
      <c r="B263" s="45">
        <v>0</v>
      </c>
      <c r="C263" s="45">
        <v>0</v>
      </c>
      <c r="D263" s="45">
        <v>29620.112099999998</v>
      </c>
      <c r="E263" s="45">
        <v>32759.915243226147</v>
      </c>
      <c r="F263" s="45">
        <v>10085.605019999999</v>
      </c>
      <c r="G263" s="45">
        <v>9170.4269772443786</v>
      </c>
      <c r="H263" s="46">
        <v>0.10600240581892173</v>
      </c>
      <c r="I263" s="46">
        <v>-9.0741015629781319E-2</v>
      </c>
      <c r="J263" s="46">
        <v>5.602782827841124E-2</v>
      </c>
    </row>
    <row r="264" spans="1:10" ht="11.25" customHeight="1" x14ac:dyDescent="0.2">
      <c r="A264" s="55">
        <v>44440</v>
      </c>
      <c r="B264" s="45">
        <v>0</v>
      </c>
      <c r="C264" s="45">
        <v>0</v>
      </c>
      <c r="D264" s="45">
        <v>2321.3834999999999</v>
      </c>
      <c r="E264" s="45">
        <v>2567.4557358283482</v>
      </c>
      <c r="F264" s="45">
        <v>790.42770000000007</v>
      </c>
      <c r="G264" s="45">
        <v>718.70348772008776</v>
      </c>
      <c r="H264" s="46">
        <v>0.10600240581892151</v>
      </c>
      <c r="I264" s="46">
        <v>-9.0741015629781541E-2</v>
      </c>
      <c r="J264" s="46">
        <v>5.6027828278410796E-2</v>
      </c>
    </row>
    <row r="265" spans="1:10" ht="11.25" customHeight="1" x14ac:dyDescent="0.2">
      <c r="A265" s="55">
        <v>44470</v>
      </c>
      <c r="B265" s="45">
        <v>0</v>
      </c>
      <c r="C265" s="45">
        <v>0</v>
      </c>
      <c r="D265" s="45">
        <v>2372.3519999999999</v>
      </c>
      <c r="E265" s="45">
        <v>2623.8270194493298</v>
      </c>
      <c r="F265" s="45">
        <v>807.78240000000005</v>
      </c>
      <c r="G265" s="45">
        <v>734.48340461613759</v>
      </c>
      <c r="H265" s="46">
        <v>0.10600240581892151</v>
      </c>
      <c r="I265" s="46">
        <v>-9.0741015629781541E-2</v>
      </c>
      <c r="J265" s="46">
        <v>5.6027828278411018E-2</v>
      </c>
    </row>
    <row r="266" spans="1:10" ht="11.25" customHeight="1" x14ac:dyDescent="0.2">
      <c r="A266" s="55">
        <v>44501</v>
      </c>
      <c r="B266" s="45">
        <v>0</v>
      </c>
      <c r="C266" s="45">
        <v>0</v>
      </c>
      <c r="D266" s="45">
        <v>2390.886</v>
      </c>
      <c r="E266" s="45">
        <v>2644.3256680387781</v>
      </c>
      <c r="F266" s="45">
        <v>814.09320000000002</v>
      </c>
      <c r="G266" s="45">
        <v>740.22155621470131</v>
      </c>
      <c r="H266" s="46">
        <v>0.10600240581892151</v>
      </c>
      <c r="I266" s="46">
        <v>-9.0741015629781319E-2</v>
      </c>
      <c r="J266" s="46">
        <v>5.602782827841124E-2</v>
      </c>
    </row>
    <row r="267" spans="1:10" ht="11.25" customHeight="1" x14ac:dyDescent="0.2">
      <c r="A267" s="55">
        <v>44531</v>
      </c>
      <c r="B267" s="45">
        <v>0</v>
      </c>
      <c r="C267" s="45">
        <v>0</v>
      </c>
      <c r="D267" s="45">
        <v>2407.5665999999997</v>
      </c>
      <c r="E267" s="45">
        <v>2662.7744517692809</v>
      </c>
      <c r="F267" s="45">
        <v>819.77292</v>
      </c>
      <c r="G267" s="45">
        <v>745.3858926534084</v>
      </c>
      <c r="H267" s="46">
        <v>0.10600240581892151</v>
      </c>
      <c r="I267" s="46">
        <v>-9.074101562978143E-2</v>
      </c>
      <c r="J267" s="46">
        <v>5.602782827841124E-2</v>
      </c>
    </row>
    <row r="268" spans="1:10" ht="11.25" customHeight="1" x14ac:dyDescent="0.2">
      <c r="A268" s="55">
        <v>44562</v>
      </c>
      <c r="B268" s="45">
        <v>0</v>
      </c>
      <c r="C268" s="45">
        <v>0</v>
      </c>
      <c r="D268" s="45">
        <v>2400.1529999999998</v>
      </c>
      <c r="E268" s="45">
        <v>2654.5749923335015</v>
      </c>
      <c r="F268" s="45">
        <v>817.24860000000001</v>
      </c>
      <c r="G268" s="45">
        <v>743.09063201398294</v>
      </c>
      <c r="H268" s="46">
        <v>0.10600240581892151</v>
      </c>
      <c r="I268" s="46">
        <v>-9.0741015629781541E-2</v>
      </c>
      <c r="J268" s="46">
        <v>5.6027828278411018E-2</v>
      </c>
    </row>
    <row r="269" spans="1:10" ht="11.25" customHeight="1" x14ac:dyDescent="0.2">
      <c r="A269" s="55">
        <v>44593</v>
      </c>
      <c r="B269" s="45">
        <v>0</v>
      </c>
      <c r="C269" s="45">
        <v>0</v>
      </c>
      <c r="D269" s="45">
        <v>2427.9539999999997</v>
      </c>
      <c r="E269" s="45">
        <v>2685.3229652176738</v>
      </c>
      <c r="F269" s="45">
        <v>826.71480000000008</v>
      </c>
      <c r="G269" s="45">
        <v>751.6978594118284</v>
      </c>
      <c r="H269" s="46">
        <v>0.10600240581892173</v>
      </c>
      <c r="I269" s="46">
        <v>-9.074101562978143E-2</v>
      </c>
      <c r="J269" s="46">
        <v>5.602782827841124E-2</v>
      </c>
    </row>
    <row r="270" spans="1:10" ht="11.25" customHeight="1" x14ac:dyDescent="0.2">
      <c r="A270" s="55">
        <v>44621</v>
      </c>
      <c r="B270" s="45">
        <v>0</v>
      </c>
      <c r="C270" s="45">
        <v>0</v>
      </c>
      <c r="D270" s="45">
        <v>2502.0899999999997</v>
      </c>
      <c r="E270" s="45">
        <v>2767.3175595754651</v>
      </c>
      <c r="F270" s="45">
        <v>851.95799999999997</v>
      </c>
      <c r="G270" s="45">
        <v>774.65046580608271</v>
      </c>
      <c r="H270" s="46">
        <v>0.10600240581892151</v>
      </c>
      <c r="I270" s="46">
        <v>-9.0741015629781319E-2</v>
      </c>
      <c r="J270" s="46">
        <v>5.6027828278411018E-2</v>
      </c>
    </row>
    <row r="271" spans="1:10" ht="11.25" customHeight="1" x14ac:dyDescent="0.2">
      <c r="A271" s="55">
        <v>44652</v>
      </c>
      <c r="B271" s="45">
        <v>0</v>
      </c>
      <c r="C271" s="45">
        <v>0</v>
      </c>
      <c r="D271" s="45">
        <v>2580.8595</v>
      </c>
      <c r="E271" s="45">
        <v>2854.4368160806189</v>
      </c>
      <c r="F271" s="45">
        <v>878.77890000000014</v>
      </c>
      <c r="G271" s="45">
        <v>799.03761009997788</v>
      </c>
      <c r="H271" s="46">
        <v>0.10600240581892151</v>
      </c>
      <c r="I271" s="46">
        <v>-9.0741015629781541E-2</v>
      </c>
      <c r="J271" s="46">
        <v>5.6027828278411018E-2</v>
      </c>
    </row>
    <row r="272" spans="1:10" ht="11.25" customHeight="1" x14ac:dyDescent="0.2">
      <c r="A272" s="55">
        <v>44682</v>
      </c>
      <c r="B272" s="45">
        <v>0</v>
      </c>
      <c r="C272" s="45">
        <v>0</v>
      </c>
      <c r="D272" s="45">
        <v>2817.1679999999997</v>
      </c>
      <c r="E272" s="45">
        <v>3115.7945855960793</v>
      </c>
      <c r="F272" s="45">
        <v>959.24159999999995</v>
      </c>
      <c r="G272" s="45">
        <v>872.19904298166341</v>
      </c>
      <c r="H272" s="46">
        <v>0.10600240581892151</v>
      </c>
      <c r="I272" s="46">
        <v>-9.074101562978143E-2</v>
      </c>
      <c r="J272" s="46">
        <v>5.6027828278411018E-2</v>
      </c>
    </row>
    <row r="273" spans="1:10" ht="11.25" customHeight="1" x14ac:dyDescent="0.2">
      <c r="A273" s="55">
        <v>44713</v>
      </c>
      <c r="B273" s="45">
        <v>0</v>
      </c>
      <c r="C273" s="45">
        <v>0</v>
      </c>
      <c r="D273" s="45">
        <v>2441.8544999999995</v>
      </c>
      <c r="E273" s="45">
        <v>2700.6969516597596</v>
      </c>
      <c r="F273" s="45">
        <v>831.44790000000012</v>
      </c>
      <c r="G273" s="45">
        <v>756.00147311075102</v>
      </c>
      <c r="H273" s="46">
        <v>0.10600240581892173</v>
      </c>
      <c r="I273" s="46">
        <v>-9.0741015629781652E-2</v>
      </c>
      <c r="J273" s="46">
        <v>5.6027828278411018E-2</v>
      </c>
    </row>
    <row r="274" spans="1:10" ht="11.25" customHeight="1" x14ac:dyDescent="0.2">
      <c r="A274" s="55">
        <v>44743</v>
      </c>
      <c r="B274" s="45">
        <v>0</v>
      </c>
      <c r="C274" s="45">
        <v>0</v>
      </c>
      <c r="D274" s="45">
        <v>2478.9224999999997</v>
      </c>
      <c r="E274" s="45">
        <v>2741.6942488386553</v>
      </c>
      <c r="F274" s="45">
        <v>844.06950000000006</v>
      </c>
      <c r="G274" s="45">
        <v>767.47777630787823</v>
      </c>
      <c r="H274" s="46">
        <v>0.10600240581892151</v>
      </c>
      <c r="I274" s="46">
        <v>-9.074101562978143E-2</v>
      </c>
      <c r="J274" s="46">
        <v>5.6027828278411018E-2</v>
      </c>
    </row>
    <row r="275" spans="1:10" ht="11.25" customHeight="1" x14ac:dyDescent="0.2">
      <c r="A275" s="55">
        <v>44774</v>
      </c>
      <c r="B275" s="45">
        <v>0</v>
      </c>
      <c r="C275" s="45">
        <v>0</v>
      </c>
      <c r="D275" s="45">
        <v>2478.9224999999997</v>
      </c>
      <c r="E275" s="45">
        <v>2741.6942488386553</v>
      </c>
      <c r="F275" s="45">
        <v>844.06950000000006</v>
      </c>
      <c r="G275" s="45">
        <v>767.47777630787823</v>
      </c>
      <c r="H275" s="46">
        <v>0.10600240581892151</v>
      </c>
      <c r="I275" s="46">
        <v>-9.074101562978143E-2</v>
      </c>
      <c r="J275" s="46">
        <v>5.6027828278411018E-2</v>
      </c>
    </row>
    <row r="276" spans="1:10" ht="11.25" customHeight="1" x14ac:dyDescent="0.2">
      <c r="A276" s="51" t="s">
        <v>30</v>
      </c>
      <c r="B276" s="45">
        <v>0</v>
      </c>
      <c r="C276" s="45">
        <v>0</v>
      </c>
      <c r="D276" s="45">
        <v>111678.66215</v>
      </c>
      <c r="E276" s="45">
        <v>123517.53545408821</v>
      </c>
      <c r="F276" s="45">
        <v>38029.037199999992</v>
      </c>
      <c r="G276" s="45">
        <v>34576.052193087475</v>
      </c>
      <c r="H276" s="46">
        <v>0.10600837327534385</v>
      </c>
      <c r="I276" s="46">
        <v>-9.0798643908673871E-2</v>
      </c>
      <c r="J276" s="46">
        <v>5.6015076937161457E-2</v>
      </c>
    </row>
    <row r="277" spans="1:10" ht="11.25" customHeight="1" x14ac:dyDescent="0.2">
      <c r="A277" s="52" t="s">
        <v>25</v>
      </c>
      <c r="B277" s="45">
        <v>0</v>
      </c>
      <c r="C277" s="45">
        <v>0</v>
      </c>
      <c r="D277" s="45">
        <v>111678.66215</v>
      </c>
      <c r="E277" s="45">
        <v>123517.53545408821</v>
      </c>
      <c r="F277" s="45">
        <v>38029.037199999992</v>
      </c>
      <c r="G277" s="45">
        <v>34576.052193087475</v>
      </c>
      <c r="H277" s="46">
        <v>0.10600837327534385</v>
      </c>
      <c r="I277" s="46">
        <v>-9.0798643908673871E-2</v>
      </c>
      <c r="J277" s="46">
        <v>5.6015076937161457E-2</v>
      </c>
    </row>
    <row r="278" spans="1:10" ht="11.25" customHeight="1" x14ac:dyDescent="0.2">
      <c r="A278" s="53" t="s">
        <v>25</v>
      </c>
      <c r="B278" s="45">
        <v>0</v>
      </c>
      <c r="C278" s="45">
        <v>0</v>
      </c>
      <c r="D278" s="45">
        <v>111678.66215</v>
      </c>
      <c r="E278" s="45">
        <v>123517.53545408821</v>
      </c>
      <c r="F278" s="45">
        <v>38029.037199999992</v>
      </c>
      <c r="G278" s="45">
        <v>34576.052193087475</v>
      </c>
      <c r="H278" s="46">
        <v>0.10600837327534385</v>
      </c>
      <c r="I278" s="46">
        <v>-9.0798643908673871E-2</v>
      </c>
      <c r="J278" s="46">
        <v>5.6015076937161457E-2</v>
      </c>
    </row>
    <row r="279" spans="1:10" ht="11.25" customHeight="1" x14ac:dyDescent="0.2">
      <c r="A279" s="54" t="s">
        <v>25</v>
      </c>
      <c r="B279" s="45">
        <v>0</v>
      </c>
      <c r="C279" s="45">
        <v>0</v>
      </c>
      <c r="D279" s="45">
        <v>111678.66215</v>
      </c>
      <c r="E279" s="45">
        <v>123517.53545408821</v>
      </c>
      <c r="F279" s="45">
        <v>38029.037199999992</v>
      </c>
      <c r="G279" s="45">
        <v>34576.052193087475</v>
      </c>
      <c r="H279" s="46">
        <v>0.10600837327534385</v>
      </c>
      <c r="I279" s="46">
        <v>-9.0798643908673871E-2</v>
      </c>
      <c r="J279" s="46">
        <v>5.6015076937161457E-2</v>
      </c>
    </row>
    <row r="280" spans="1:10" ht="11.25" customHeight="1" x14ac:dyDescent="0.2">
      <c r="A280" s="55">
        <v>44440</v>
      </c>
      <c r="B280" s="45">
        <v>0</v>
      </c>
      <c r="C280" s="45">
        <v>0</v>
      </c>
      <c r="D280" s="45">
        <v>8623.0293599999986</v>
      </c>
      <c r="E280" s="45">
        <v>9537.1426751591262</v>
      </c>
      <c r="F280" s="45">
        <v>2936.3308799999995</v>
      </c>
      <c r="G280" s="45">
        <v>2669.7160180288361</v>
      </c>
      <c r="H280" s="46">
        <v>0.10600837327534363</v>
      </c>
      <c r="I280" s="46">
        <v>-9.0798643908674093E-2</v>
      </c>
      <c r="J280" s="46">
        <v>5.6015076937161234E-2</v>
      </c>
    </row>
    <row r="281" spans="1:10" ht="11.25" customHeight="1" x14ac:dyDescent="0.2">
      <c r="A281" s="55">
        <v>44470</v>
      </c>
      <c r="B281" s="45">
        <v>0</v>
      </c>
      <c r="C281" s="45">
        <v>0</v>
      </c>
      <c r="D281" s="45">
        <v>8882.2391899999984</v>
      </c>
      <c r="E281" s="45">
        <v>9823.8309175744052</v>
      </c>
      <c r="F281" s="45">
        <v>3024.5975199999998</v>
      </c>
      <c r="G281" s="45">
        <v>2749.9681668144608</v>
      </c>
      <c r="H281" s="46">
        <v>0.10600837327534385</v>
      </c>
      <c r="I281" s="46">
        <v>-9.0798643908674204E-2</v>
      </c>
      <c r="J281" s="46">
        <v>5.6015076937161457E-2</v>
      </c>
    </row>
    <row r="282" spans="1:10" ht="11.25" customHeight="1" x14ac:dyDescent="0.2">
      <c r="A282" s="55">
        <v>44501</v>
      </c>
      <c r="B282" s="45">
        <v>0</v>
      </c>
      <c r="C282" s="45">
        <v>0</v>
      </c>
      <c r="D282" s="45">
        <v>9021.50821</v>
      </c>
      <c r="E282" s="45">
        <v>9977.8636198322565</v>
      </c>
      <c r="F282" s="45">
        <v>3072.0216799999998</v>
      </c>
      <c r="G282" s="45">
        <v>2793.0862773979529</v>
      </c>
      <c r="H282" s="46">
        <v>0.10600837327534363</v>
      </c>
      <c r="I282" s="46">
        <v>-9.0798643908674093E-2</v>
      </c>
      <c r="J282" s="46">
        <v>5.6015076937161234E-2</v>
      </c>
    </row>
    <row r="283" spans="1:10" ht="11.25" customHeight="1" x14ac:dyDescent="0.2">
      <c r="A283" s="55">
        <v>44531</v>
      </c>
      <c r="B283" s="45">
        <v>0</v>
      </c>
      <c r="C283" s="45">
        <v>0</v>
      </c>
      <c r="D283" s="45">
        <v>9181.42929</v>
      </c>
      <c r="E283" s="45">
        <v>10154.737673375494</v>
      </c>
      <c r="F283" s="45">
        <v>3126.4783199999997</v>
      </c>
      <c r="G283" s="45">
        <v>2842.5983283341302</v>
      </c>
      <c r="H283" s="46">
        <v>0.10600837327534363</v>
      </c>
      <c r="I283" s="46">
        <v>-9.0798643908674093E-2</v>
      </c>
      <c r="J283" s="46">
        <v>5.6015076937161234E-2</v>
      </c>
    </row>
    <row r="284" spans="1:10" ht="11.25" customHeight="1" x14ac:dyDescent="0.2">
      <c r="A284" s="55">
        <v>44562</v>
      </c>
      <c r="B284" s="45">
        <v>0</v>
      </c>
      <c r="C284" s="45">
        <v>0</v>
      </c>
      <c r="D284" s="45">
        <v>9274.8930999999993</v>
      </c>
      <c r="E284" s="45">
        <v>10258.109429833708</v>
      </c>
      <c r="F284" s="45">
        <v>3158.3047999999999</v>
      </c>
      <c r="G284" s="45">
        <v>2871.5350071097437</v>
      </c>
      <c r="H284" s="46">
        <v>0.10600837327534363</v>
      </c>
      <c r="I284" s="46">
        <v>-9.0798643908674093E-2</v>
      </c>
      <c r="J284" s="46">
        <v>5.6015076937161457E-2</v>
      </c>
    </row>
    <row r="285" spans="1:10" ht="11.25" customHeight="1" x14ac:dyDescent="0.2">
      <c r="A285" s="55">
        <v>44593</v>
      </c>
      <c r="B285" s="45">
        <v>0</v>
      </c>
      <c r="C285" s="45">
        <v>0</v>
      </c>
      <c r="D285" s="45">
        <v>9367.5625999999993</v>
      </c>
      <c r="E285" s="45">
        <v>10360.602672780949</v>
      </c>
      <c r="F285" s="45">
        <v>3189.8607999999999</v>
      </c>
      <c r="G285" s="45">
        <v>2900.2257651025616</v>
      </c>
      <c r="H285" s="46">
        <v>0.10600837327534385</v>
      </c>
      <c r="I285" s="46">
        <v>-9.0798643908674093E-2</v>
      </c>
      <c r="J285" s="46">
        <v>5.6015076937161457E-2</v>
      </c>
    </row>
    <row r="286" spans="1:10" ht="11.25" customHeight="1" x14ac:dyDescent="0.2">
      <c r="A286" s="55">
        <v>44621</v>
      </c>
      <c r="B286" s="45">
        <v>0</v>
      </c>
      <c r="C286" s="45">
        <v>0</v>
      </c>
      <c r="D286" s="45">
        <v>9642.3938600000001</v>
      </c>
      <c r="E286" s="45">
        <v>10664.568347578761</v>
      </c>
      <c r="F286" s="45">
        <v>3283.44688</v>
      </c>
      <c r="G286" s="45">
        <v>2985.3143559498326</v>
      </c>
      <c r="H286" s="46">
        <v>0.10600837327534363</v>
      </c>
      <c r="I286" s="46">
        <v>-9.0798643908674204E-2</v>
      </c>
      <c r="J286" s="46">
        <v>5.6015076937161234E-2</v>
      </c>
    </row>
    <row r="287" spans="1:10" ht="11.25" customHeight="1" x14ac:dyDescent="0.2">
      <c r="A287" s="55">
        <v>44652</v>
      </c>
      <c r="B287" s="45">
        <v>0</v>
      </c>
      <c r="C287" s="45">
        <v>0</v>
      </c>
      <c r="D287" s="45">
        <v>9876.4505399999998</v>
      </c>
      <c r="E287" s="45">
        <v>10923.436995479789</v>
      </c>
      <c r="F287" s="45">
        <v>3363.1483199999998</v>
      </c>
      <c r="G287" s="45">
        <v>3057.7790132802643</v>
      </c>
      <c r="H287" s="46">
        <v>0.10600837327534363</v>
      </c>
      <c r="I287" s="46">
        <v>-9.0798643908674093E-2</v>
      </c>
      <c r="J287" s="46">
        <v>5.6015076937161234E-2</v>
      </c>
    </row>
    <row r="288" spans="1:10" ht="11.25" customHeight="1" x14ac:dyDescent="0.2">
      <c r="A288" s="55">
        <v>44682</v>
      </c>
      <c r="B288" s="45">
        <v>0</v>
      </c>
      <c r="C288" s="45">
        <v>0</v>
      </c>
      <c r="D288" s="45">
        <v>10316.76305</v>
      </c>
      <c r="E288" s="45">
        <v>11410.426318397673</v>
      </c>
      <c r="F288" s="45">
        <v>3513.0844000000002</v>
      </c>
      <c r="G288" s="45">
        <v>3194.101100543282</v>
      </c>
      <c r="H288" s="46">
        <v>0.10600837327534363</v>
      </c>
      <c r="I288" s="46">
        <v>-9.0798643908674204E-2</v>
      </c>
      <c r="J288" s="46">
        <v>5.6015076937161234E-2</v>
      </c>
    </row>
    <row r="289" spans="1:10" ht="11.25" customHeight="1" x14ac:dyDescent="0.2">
      <c r="A289" s="55">
        <v>44713</v>
      </c>
      <c r="B289" s="45">
        <v>0</v>
      </c>
      <c r="C289" s="45">
        <v>0</v>
      </c>
      <c r="D289" s="45">
        <v>8987.6176500000001</v>
      </c>
      <c r="E289" s="45">
        <v>9940.3803766972651</v>
      </c>
      <c r="F289" s="45">
        <v>3060.4811999999993</v>
      </c>
      <c r="G289" s="45">
        <v>2782.5936573320082</v>
      </c>
      <c r="H289" s="46">
        <v>0.1060083732753434</v>
      </c>
      <c r="I289" s="46">
        <v>-9.0798643908673982E-2</v>
      </c>
      <c r="J289" s="46">
        <v>5.6015076937161457E-2</v>
      </c>
    </row>
    <row r="290" spans="1:10" ht="11.25" customHeight="1" x14ac:dyDescent="0.2">
      <c r="A290" s="55">
        <v>44743</v>
      </c>
      <c r="B290" s="45">
        <v>0</v>
      </c>
      <c r="C290" s="45">
        <v>0</v>
      </c>
      <c r="D290" s="45">
        <v>9252.3876500000006</v>
      </c>
      <c r="E290" s="45">
        <v>10233.218213689379</v>
      </c>
      <c r="F290" s="45">
        <v>3150.6412</v>
      </c>
      <c r="G290" s="45">
        <v>2864.5672515972019</v>
      </c>
      <c r="H290" s="46">
        <v>0.1060083732753434</v>
      </c>
      <c r="I290" s="46">
        <v>-9.0798643908674204E-2</v>
      </c>
      <c r="J290" s="46">
        <v>5.6015076937161234E-2</v>
      </c>
    </row>
    <row r="291" spans="1:10" ht="11.25" customHeight="1" x14ac:dyDescent="0.2">
      <c r="A291" s="55">
        <v>44774</v>
      </c>
      <c r="B291" s="45">
        <v>0</v>
      </c>
      <c r="C291" s="45">
        <v>0</v>
      </c>
      <c r="D291" s="45">
        <v>9252.3876500000006</v>
      </c>
      <c r="E291" s="45">
        <v>10233.218213689379</v>
      </c>
      <c r="F291" s="45">
        <v>3150.6412</v>
      </c>
      <c r="G291" s="45">
        <v>2864.5672515972019</v>
      </c>
      <c r="H291" s="46">
        <v>0.1060083732753434</v>
      </c>
      <c r="I291" s="46">
        <v>-9.0798643908674204E-2</v>
      </c>
      <c r="J291" s="46">
        <v>5.6015076937161234E-2</v>
      </c>
    </row>
    <row r="292" spans="1:10" ht="11.25" customHeight="1" x14ac:dyDescent="0.2">
      <c r="A292" s="51" t="s">
        <v>31</v>
      </c>
      <c r="B292" s="45">
        <v>0</v>
      </c>
      <c r="C292" s="45">
        <v>0</v>
      </c>
      <c r="D292" s="45">
        <v>193389.01530000003</v>
      </c>
      <c r="E292" s="45">
        <v>213892.56303092005</v>
      </c>
      <c r="F292" s="45">
        <v>65854.036079999991</v>
      </c>
      <c r="G292" s="45">
        <v>59874.578908023104</v>
      </c>
      <c r="H292" s="46">
        <v>0.10602229759075676</v>
      </c>
      <c r="I292" s="46">
        <v>-9.0798643908674315E-2</v>
      </c>
      <c r="J292" s="46">
        <v>5.6024994620409663E-2</v>
      </c>
    </row>
    <row r="293" spans="1:10" ht="11.25" customHeight="1" x14ac:dyDescent="0.2">
      <c r="A293" s="52" t="s">
        <v>25</v>
      </c>
      <c r="B293" s="45">
        <v>0</v>
      </c>
      <c r="C293" s="45">
        <v>0</v>
      </c>
      <c r="D293" s="45">
        <v>193389.01530000003</v>
      </c>
      <c r="E293" s="45">
        <v>213892.56303092005</v>
      </c>
      <c r="F293" s="45">
        <v>65854.036079999991</v>
      </c>
      <c r="G293" s="45">
        <v>59874.578908023104</v>
      </c>
      <c r="H293" s="46">
        <v>0.10602229759075676</v>
      </c>
      <c r="I293" s="46">
        <v>-9.0798643908674315E-2</v>
      </c>
      <c r="J293" s="46">
        <v>5.6024994620409663E-2</v>
      </c>
    </row>
    <row r="294" spans="1:10" ht="11.25" customHeight="1" x14ac:dyDescent="0.2">
      <c r="A294" s="53" t="s">
        <v>25</v>
      </c>
      <c r="B294" s="45">
        <v>0</v>
      </c>
      <c r="C294" s="45">
        <v>0</v>
      </c>
      <c r="D294" s="45">
        <v>193389.01530000003</v>
      </c>
      <c r="E294" s="45">
        <v>213892.56303092005</v>
      </c>
      <c r="F294" s="45">
        <v>65854.036079999991</v>
      </c>
      <c r="G294" s="45">
        <v>59874.578908023104</v>
      </c>
      <c r="H294" s="46">
        <v>0.10602229759075676</v>
      </c>
      <c r="I294" s="46">
        <v>-9.0798643908674315E-2</v>
      </c>
      <c r="J294" s="46">
        <v>5.6024994620409663E-2</v>
      </c>
    </row>
    <row r="295" spans="1:10" ht="11.25" customHeight="1" x14ac:dyDescent="0.2">
      <c r="A295" s="54" t="s">
        <v>25</v>
      </c>
      <c r="B295" s="45">
        <v>0</v>
      </c>
      <c r="C295" s="45">
        <v>0</v>
      </c>
      <c r="D295" s="45">
        <v>193389.01530000003</v>
      </c>
      <c r="E295" s="45">
        <v>213892.56303092005</v>
      </c>
      <c r="F295" s="45">
        <v>65854.036079999991</v>
      </c>
      <c r="G295" s="45">
        <v>59874.578908023104</v>
      </c>
      <c r="H295" s="46">
        <v>0.10602229759075676</v>
      </c>
      <c r="I295" s="46">
        <v>-9.0798643908674315E-2</v>
      </c>
      <c r="J295" s="46">
        <v>5.6024994620409663E-2</v>
      </c>
    </row>
    <row r="296" spans="1:10" ht="11.25" customHeight="1" x14ac:dyDescent="0.2">
      <c r="A296" s="55">
        <v>44440</v>
      </c>
      <c r="B296" s="45">
        <v>0</v>
      </c>
      <c r="C296" s="45">
        <v>0</v>
      </c>
      <c r="D296" s="45">
        <v>14767.228449999999</v>
      </c>
      <c r="E296" s="45">
        <v>16332.883939316593</v>
      </c>
      <c r="F296" s="45">
        <v>5028.6289200000001</v>
      </c>
      <c r="G296" s="45">
        <v>4572.0362333440598</v>
      </c>
      <c r="H296" s="46">
        <v>0.10602229759075699</v>
      </c>
      <c r="I296" s="46">
        <v>-9.0798643908674093E-2</v>
      </c>
      <c r="J296" s="46">
        <v>5.6024994620410107E-2</v>
      </c>
    </row>
    <row r="297" spans="1:10" ht="11.25" customHeight="1" x14ac:dyDescent="0.2">
      <c r="A297" s="55">
        <v>44470</v>
      </c>
      <c r="B297" s="45">
        <v>0</v>
      </c>
      <c r="C297" s="45">
        <v>0</v>
      </c>
      <c r="D297" s="45">
        <v>14587.3195</v>
      </c>
      <c r="E297" s="45">
        <v>16133.900629080452</v>
      </c>
      <c r="F297" s="45">
        <v>4967.3652000000002</v>
      </c>
      <c r="G297" s="45">
        <v>4516.3351760408596</v>
      </c>
      <c r="H297" s="46">
        <v>0.10602229759075699</v>
      </c>
      <c r="I297" s="46">
        <v>-9.0798643908674315E-2</v>
      </c>
      <c r="J297" s="46">
        <v>5.6024994620410107E-2</v>
      </c>
    </row>
    <row r="298" spans="1:10" ht="11.25" customHeight="1" x14ac:dyDescent="0.2">
      <c r="A298" s="55">
        <v>44501</v>
      </c>
      <c r="B298" s="45">
        <v>0</v>
      </c>
      <c r="C298" s="45">
        <v>0</v>
      </c>
      <c r="D298" s="45">
        <v>15201.313399999999</v>
      </c>
      <c r="E298" s="45">
        <v>16812.991573065163</v>
      </c>
      <c r="F298" s="45">
        <v>5176.4462400000002</v>
      </c>
      <c r="G298" s="45">
        <v>4706.4319411418455</v>
      </c>
      <c r="H298" s="46">
        <v>0.10602229759075721</v>
      </c>
      <c r="I298" s="46">
        <v>-9.0798643908674093E-2</v>
      </c>
      <c r="J298" s="46">
        <v>5.6024994620410107E-2</v>
      </c>
    </row>
    <row r="299" spans="1:10" ht="11.25" customHeight="1" x14ac:dyDescent="0.2">
      <c r="A299" s="55">
        <v>44531</v>
      </c>
      <c r="B299" s="45">
        <v>0</v>
      </c>
      <c r="C299" s="45">
        <v>0</v>
      </c>
      <c r="D299" s="45">
        <v>16096.88665</v>
      </c>
      <c r="E299" s="45">
        <v>17803.515556690985</v>
      </c>
      <c r="F299" s="45">
        <v>5481.412440000001</v>
      </c>
      <c r="G299" s="45">
        <v>4983.7076237438641</v>
      </c>
      <c r="H299" s="46">
        <v>0.10602229759075699</v>
      </c>
      <c r="I299" s="46">
        <v>-9.0798643908674204E-2</v>
      </c>
      <c r="J299" s="46">
        <v>5.6024994620410107E-2</v>
      </c>
    </row>
    <row r="300" spans="1:10" ht="11.25" customHeight="1" x14ac:dyDescent="0.2">
      <c r="A300" s="55">
        <v>44562</v>
      </c>
      <c r="B300" s="45">
        <v>0</v>
      </c>
      <c r="C300" s="45">
        <v>0</v>
      </c>
      <c r="D300" s="45">
        <v>18305.4378</v>
      </c>
      <c r="E300" s="45">
        <v>20246.222373960689</v>
      </c>
      <c r="F300" s="45">
        <v>6233.4820800000007</v>
      </c>
      <c r="G300" s="45">
        <v>5667.4903603069788</v>
      </c>
      <c r="H300" s="46">
        <v>0.10602229759075676</v>
      </c>
      <c r="I300" s="46">
        <v>-9.0798643908674204E-2</v>
      </c>
      <c r="J300" s="46">
        <v>5.6024994620409885E-2</v>
      </c>
    </row>
    <row r="301" spans="1:10" ht="11.25" customHeight="1" x14ac:dyDescent="0.2">
      <c r="A301" s="55">
        <v>44593</v>
      </c>
      <c r="B301" s="45">
        <v>0</v>
      </c>
      <c r="C301" s="45">
        <v>0</v>
      </c>
      <c r="D301" s="45">
        <v>17906.699199999999</v>
      </c>
      <c r="E301" s="45">
        <v>19805.20859145057</v>
      </c>
      <c r="F301" s="45">
        <v>6097.7011200000006</v>
      </c>
      <c r="G301" s="45">
        <v>5544.0381273435969</v>
      </c>
      <c r="H301" s="46">
        <v>0.10602229759075699</v>
      </c>
      <c r="I301" s="46">
        <v>-9.0798643908674204E-2</v>
      </c>
      <c r="J301" s="46">
        <v>5.6024994620409885E-2</v>
      </c>
    </row>
    <row r="302" spans="1:10" ht="11.25" customHeight="1" x14ac:dyDescent="0.2">
      <c r="A302" s="55">
        <v>44621</v>
      </c>
      <c r="B302" s="45">
        <v>0</v>
      </c>
      <c r="C302" s="45">
        <v>0</v>
      </c>
      <c r="D302" s="45">
        <v>17846.332399999996</v>
      </c>
      <c r="E302" s="45">
        <v>19738.441564616365</v>
      </c>
      <c r="F302" s="45">
        <v>6077.1446400000004</v>
      </c>
      <c r="G302" s="45">
        <v>5525.348147851133</v>
      </c>
      <c r="H302" s="46">
        <v>0.10602229759075699</v>
      </c>
      <c r="I302" s="46">
        <v>-9.0798643908674093E-2</v>
      </c>
      <c r="J302" s="46">
        <v>5.6024994620410107E-2</v>
      </c>
    </row>
    <row r="303" spans="1:10" ht="11.25" customHeight="1" x14ac:dyDescent="0.2">
      <c r="A303" s="55">
        <v>44652</v>
      </c>
      <c r="B303" s="45">
        <v>0</v>
      </c>
      <c r="C303" s="45">
        <v>0</v>
      </c>
      <c r="D303" s="45">
        <v>17652.126049999999</v>
      </c>
      <c r="E303" s="45">
        <v>19523.645011182653</v>
      </c>
      <c r="F303" s="45">
        <v>6011.0122800000008</v>
      </c>
      <c r="G303" s="45">
        <v>5465.2205164576135</v>
      </c>
      <c r="H303" s="46">
        <v>0.10602229759075699</v>
      </c>
      <c r="I303" s="46">
        <v>-9.0798643908674093E-2</v>
      </c>
      <c r="J303" s="46">
        <v>5.6024994620409885E-2</v>
      </c>
    </row>
    <row r="304" spans="1:10" ht="11.25" customHeight="1" x14ac:dyDescent="0.2">
      <c r="A304" s="55">
        <v>44682</v>
      </c>
      <c r="B304" s="45">
        <v>0</v>
      </c>
      <c r="C304" s="45">
        <v>0</v>
      </c>
      <c r="D304" s="45">
        <v>16249.392249999999</v>
      </c>
      <c r="E304" s="45">
        <v>17972.19015079844</v>
      </c>
      <c r="F304" s="45">
        <v>5533.3446000000004</v>
      </c>
      <c r="G304" s="45">
        <v>5030.9244140406154</v>
      </c>
      <c r="H304" s="46">
        <v>0.10602229759075699</v>
      </c>
      <c r="I304" s="46">
        <v>-9.0798643908674093E-2</v>
      </c>
      <c r="J304" s="46">
        <v>5.6024994620409885E-2</v>
      </c>
    </row>
    <row r="305" spans="1:10" ht="11.25" customHeight="1" x14ac:dyDescent="0.2">
      <c r="A305" s="55">
        <v>44713</v>
      </c>
      <c r="B305" s="45">
        <v>0</v>
      </c>
      <c r="C305" s="45">
        <v>0</v>
      </c>
      <c r="D305" s="45">
        <v>15021.801600000001</v>
      </c>
      <c r="E305" s="45">
        <v>16614.447519584508</v>
      </c>
      <c r="F305" s="45">
        <v>5115.3177600000008</v>
      </c>
      <c r="G305" s="45">
        <v>4650.8538442300442</v>
      </c>
      <c r="H305" s="46">
        <v>0.10602229759075676</v>
      </c>
      <c r="I305" s="46">
        <v>-9.0798643908674093E-2</v>
      </c>
      <c r="J305" s="46">
        <v>5.6024994620409885E-2</v>
      </c>
    </row>
    <row r="306" spans="1:10" ht="11.25" customHeight="1" x14ac:dyDescent="0.2">
      <c r="A306" s="55">
        <v>44743</v>
      </c>
      <c r="B306" s="45">
        <v>0</v>
      </c>
      <c r="C306" s="45">
        <v>0</v>
      </c>
      <c r="D306" s="45">
        <v>14877.239000000001</v>
      </c>
      <c r="E306" s="45">
        <v>16454.558060586816</v>
      </c>
      <c r="F306" s="45">
        <v>5066.0904</v>
      </c>
      <c r="G306" s="45">
        <v>4606.0962617612477</v>
      </c>
      <c r="H306" s="46">
        <v>0.10602229759075699</v>
      </c>
      <c r="I306" s="46">
        <v>-9.0798643908674093E-2</v>
      </c>
      <c r="J306" s="46">
        <v>5.6024994620409663E-2</v>
      </c>
    </row>
    <row r="307" spans="1:10" ht="11.25" customHeight="1" x14ac:dyDescent="0.2">
      <c r="A307" s="55">
        <v>44774</v>
      </c>
      <c r="B307" s="45">
        <v>0</v>
      </c>
      <c r="C307" s="45">
        <v>0</v>
      </c>
      <c r="D307" s="45">
        <v>14877.239000000001</v>
      </c>
      <c r="E307" s="45">
        <v>16454.558060586816</v>
      </c>
      <c r="F307" s="45">
        <v>5066.0904</v>
      </c>
      <c r="G307" s="45">
        <v>4606.0962617612477</v>
      </c>
      <c r="H307" s="46">
        <v>0.10602229759075699</v>
      </c>
      <c r="I307" s="46">
        <v>-9.0798643908674093E-2</v>
      </c>
      <c r="J307" s="46">
        <v>5.6024994620409663E-2</v>
      </c>
    </row>
    <row r="308" spans="1:10" ht="11.25" customHeight="1" x14ac:dyDescent="0.2">
      <c r="A308" s="51" t="s">
        <v>32</v>
      </c>
      <c r="B308" s="45">
        <v>0</v>
      </c>
      <c r="C308" s="45">
        <v>0</v>
      </c>
      <c r="D308" s="45">
        <v>102901.64191999997</v>
      </c>
      <c r="E308" s="45">
        <v>113810.93728392299</v>
      </c>
      <c r="F308" s="45">
        <v>35038.979139999996</v>
      </c>
      <c r="G308" s="45">
        <v>31858.900788510524</v>
      </c>
      <c r="H308" s="46">
        <v>0.1060167278225197</v>
      </c>
      <c r="I308" s="46">
        <v>-9.075830488049641E-2</v>
      </c>
      <c r="J308" s="46">
        <v>5.6032928901136092E-2</v>
      </c>
    </row>
    <row r="309" spans="1:10" ht="11.25" customHeight="1" x14ac:dyDescent="0.2">
      <c r="A309" s="52" t="s">
        <v>25</v>
      </c>
      <c r="B309" s="45">
        <v>0</v>
      </c>
      <c r="C309" s="45">
        <v>0</v>
      </c>
      <c r="D309" s="45">
        <v>102901.64191999997</v>
      </c>
      <c r="E309" s="45">
        <v>113810.93728392299</v>
      </c>
      <c r="F309" s="45">
        <v>35038.979139999996</v>
      </c>
      <c r="G309" s="45">
        <v>31858.900788510524</v>
      </c>
      <c r="H309" s="46">
        <v>0.1060167278225197</v>
      </c>
      <c r="I309" s="46">
        <v>-9.075830488049641E-2</v>
      </c>
      <c r="J309" s="46">
        <v>5.6032928901136092E-2</v>
      </c>
    </row>
    <row r="310" spans="1:10" ht="11.25" customHeight="1" x14ac:dyDescent="0.2">
      <c r="A310" s="53" t="s">
        <v>25</v>
      </c>
      <c r="B310" s="45">
        <v>0</v>
      </c>
      <c r="C310" s="45">
        <v>0</v>
      </c>
      <c r="D310" s="45">
        <v>102901.64191999997</v>
      </c>
      <c r="E310" s="45">
        <v>113810.93728392299</v>
      </c>
      <c r="F310" s="45">
        <v>35038.979139999996</v>
      </c>
      <c r="G310" s="45">
        <v>31858.900788510524</v>
      </c>
      <c r="H310" s="46">
        <v>0.1060167278225197</v>
      </c>
      <c r="I310" s="46">
        <v>-9.075830488049641E-2</v>
      </c>
      <c r="J310" s="46">
        <v>5.6032928901136092E-2</v>
      </c>
    </row>
    <row r="311" spans="1:10" ht="11.25" customHeight="1" x14ac:dyDescent="0.2">
      <c r="A311" s="54" t="s">
        <v>25</v>
      </c>
      <c r="B311" s="45">
        <v>0</v>
      </c>
      <c r="C311" s="45">
        <v>0</v>
      </c>
      <c r="D311" s="45">
        <v>102901.64191999997</v>
      </c>
      <c r="E311" s="45">
        <v>113810.93728392299</v>
      </c>
      <c r="F311" s="45">
        <v>35038.979139999996</v>
      </c>
      <c r="G311" s="45">
        <v>31858.900788510524</v>
      </c>
      <c r="H311" s="46">
        <v>0.1060167278225197</v>
      </c>
      <c r="I311" s="46">
        <v>-9.075830488049641E-2</v>
      </c>
      <c r="J311" s="46">
        <v>5.6032928901136092E-2</v>
      </c>
    </row>
    <row r="312" spans="1:10" ht="11.25" customHeight="1" x14ac:dyDescent="0.2">
      <c r="A312" s="55">
        <v>44440</v>
      </c>
      <c r="B312" s="45">
        <v>0</v>
      </c>
      <c r="C312" s="45">
        <v>0</v>
      </c>
      <c r="D312" s="45">
        <v>6278.0905599999996</v>
      </c>
      <c r="E312" s="45">
        <v>6943.673178144647</v>
      </c>
      <c r="F312" s="45">
        <v>2137.7490199999997</v>
      </c>
      <c r="G312" s="45">
        <v>1943.730542684857</v>
      </c>
      <c r="H312" s="46">
        <v>0.10601672782251925</v>
      </c>
      <c r="I312" s="46">
        <v>-9.0758304880496521E-2</v>
      </c>
      <c r="J312" s="46">
        <v>5.603292890113587E-2</v>
      </c>
    </row>
    <row r="313" spans="1:10" ht="11.25" customHeight="1" x14ac:dyDescent="0.2">
      <c r="A313" s="55">
        <v>44470</v>
      </c>
      <c r="B313" s="45">
        <v>0</v>
      </c>
      <c r="C313" s="45">
        <v>0</v>
      </c>
      <c r="D313" s="45">
        <v>6113.0518400000001</v>
      </c>
      <c r="E313" s="45">
        <v>6761.1375930862296</v>
      </c>
      <c r="F313" s="45">
        <v>2081.5517799999998</v>
      </c>
      <c r="G313" s="45">
        <v>1892.6336689262196</v>
      </c>
      <c r="H313" s="46">
        <v>0.10601672782251903</v>
      </c>
      <c r="I313" s="46">
        <v>-9.0758304880496521E-2</v>
      </c>
      <c r="J313" s="46">
        <v>5.6032928901135648E-2</v>
      </c>
    </row>
    <row r="314" spans="1:10" ht="11.25" customHeight="1" x14ac:dyDescent="0.2">
      <c r="A314" s="55">
        <v>44501</v>
      </c>
      <c r="B314" s="45">
        <v>0</v>
      </c>
      <c r="C314" s="45">
        <v>0</v>
      </c>
      <c r="D314" s="45">
        <v>6156.2972799999998</v>
      </c>
      <c r="E314" s="45">
        <v>6808.9677731282745</v>
      </c>
      <c r="F314" s="45">
        <v>2096.2772599999998</v>
      </c>
      <c r="G314" s="45">
        <v>1906.022689322868</v>
      </c>
      <c r="H314" s="46">
        <v>0.10601672782251903</v>
      </c>
      <c r="I314" s="46">
        <v>-9.0758304880496521E-2</v>
      </c>
      <c r="J314" s="46">
        <v>5.6032928901135648E-2</v>
      </c>
    </row>
    <row r="315" spans="1:10" ht="11.25" customHeight="1" x14ac:dyDescent="0.2">
      <c r="A315" s="55">
        <v>44531</v>
      </c>
      <c r="B315" s="45">
        <v>0</v>
      </c>
      <c r="C315" s="45">
        <v>0</v>
      </c>
      <c r="D315" s="45">
        <v>7737.4035199999998</v>
      </c>
      <c r="E315" s="45">
        <v>8557.6977230328412</v>
      </c>
      <c r="F315" s="45">
        <v>2634.6588399999996</v>
      </c>
      <c r="G315" s="45">
        <v>2395.5416697431842</v>
      </c>
      <c r="H315" s="46">
        <v>0.10601672782251903</v>
      </c>
      <c r="I315" s="46">
        <v>-9.0758304880496521E-2</v>
      </c>
      <c r="J315" s="46">
        <v>5.6032928901135648E-2</v>
      </c>
    </row>
    <row r="316" spans="1:10" ht="11.25" customHeight="1" x14ac:dyDescent="0.2">
      <c r="A316" s="55">
        <v>44562</v>
      </c>
      <c r="B316" s="45">
        <v>0</v>
      </c>
      <c r="C316" s="45">
        <v>0</v>
      </c>
      <c r="D316" s="45">
        <v>13472.719679999998</v>
      </c>
      <c r="E316" s="45">
        <v>14901.053335343657</v>
      </c>
      <c r="F316" s="45">
        <v>4587.5880599999991</v>
      </c>
      <c r="G316" s="45">
        <v>4171.2263441843934</v>
      </c>
      <c r="H316" s="46">
        <v>0.10601672782251925</v>
      </c>
      <c r="I316" s="46">
        <v>-9.0758304880496632E-2</v>
      </c>
      <c r="J316" s="46">
        <v>5.603292890113587E-2</v>
      </c>
    </row>
    <row r="317" spans="1:10" ht="11.25" customHeight="1" x14ac:dyDescent="0.2">
      <c r="A317" s="55">
        <v>44593</v>
      </c>
      <c r="B317" s="45">
        <v>0</v>
      </c>
      <c r="C317" s="45">
        <v>0</v>
      </c>
      <c r="D317" s="45">
        <v>12507.19904</v>
      </c>
      <c r="E317" s="45">
        <v>13833.171356445751</v>
      </c>
      <c r="F317" s="45">
        <v>4258.8191799999995</v>
      </c>
      <c r="G317" s="45">
        <v>3872.2959704306531</v>
      </c>
      <c r="H317" s="46">
        <v>0.10601672782251903</v>
      </c>
      <c r="I317" s="46">
        <v>-9.0758304880496521E-2</v>
      </c>
      <c r="J317" s="46">
        <v>5.603292890113587E-2</v>
      </c>
    </row>
    <row r="318" spans="1:10" ht="11.25" customHeight="1" x14ac:dyDescent="0.2">
      <c r="A318" s="55">
        <v>44621</v>
      </c>
      <c r="B318" s="45">
        <v>0</v>
      </c>
      <c r="C318" s="45">
        <v>0</v>
      </c>
      <c r="D318" s="45">
        <v>10874.904319999998</v>
      </c>
      <c r="E318" s="45">
        <v>12027.826091389377</v>
      </c>
      <c r="F318" s="45">
        <v>3703.0074399999994</v>
      </c>
      <c r="G318" s="45">
        <v>3366.9287617857321</v>
      </c>
      <c r="H318" s="46">
        <v>0.10601672782251925</v>
      </c>
      <c r="I318" s="46">
        <v>-9.0758304880496632E-2</v>
      </c>
      <c r="J318" s="46">
        <v>5.603292890113587E-2</v>
      </c>
    </row>
    <row r="319" spans="1:10" ht="11.25" customHeight="1" x14ac:dyDescent="0.2">
      <c r="A319" s="55">
        <v>44652</v>
      </c>
      <c r="B319" s="45">
        <v>0</v>
      </c>
      <c r="C319" s="45">
        <v>0</v>
      </c>
      <c r="D319" s="45">
        <v>8675.5648000000001</v>
      </c>
      <c r="E319" s="45">
        <v>9595.3197921082283</v>
      </c>
      <c r="F319" s="45">
        <v>2954.1115999999997</v>
      </c>
      <c r="G319" s="45">
        <v>2686.0014387561882</v>
      </c>
      <c r="H319" s="46">
        <v>0.10601672782251925</v>
      </c>
      <c r="I319" s="46">
        <v>-9.0758304880496521E-2</v>
      </c>
      <c r="J319" s="46">
        <v>5.6032928901135648E-2</v>
      </c>
    </row>
    <row r="320" spans="1:10" ht="11.25" customHeight="1" x14ac:dyDescent="0.2">
      <c r="A320" s="55">
        <v>44682</v>
      </c>
      <c r="B320" s="45">
        <v>0</v>
      </c>
      <c r="C320" s="45">
        <v>0</v>
      </c>
      <c r="D320" s="45">
        <v>5738.4051199999994</v>
      </c>
      <c r="E320" s="45">
        <v>6346.7720537423902</v>
      </c>
      <c r="F320" s="45">
        <v>1953.9810399999999</v>
      </c>
      <c r="G320" s="45">
        <v>1776.6410330409699</v>
      </c>
      <c r="H320" s="46">
        <v>0.10601672782251925</v>
      </c>
      <c r="I320" s="46">
        <v>-9.0758304880496743E-2</v>
      </c>
      <c r="J320" s="46">
        <v>5.603292890113587E-2</v>
      </c>
    </row>
    <row r="321" spans="1:10" ht="11.25" customHeight="1" x14ac:dyDescent="0.2">
      <c r="A321" s="55">
        <v>44713</v>
      </c>
      <c r="B321" s="45">
        <v>0</v>
      </c>
      <c r="C321" s="45">
        <v>0</v>
      </c>
      <c r="D321" s="45">
        <v>8310.1849599999987</v>
      </c>
      <c r="E321" s="45">
        <v>9191.2035770591119</v>
      </c>
      <c r="F321" s="45">
        <v>2829.6963199999996</v>
      </c>
      <c r="G321" s="45">
        <v>2572.8778786702205</v>
      </c>
      <c r="H321" s="46">
        <v>0.10601672782251925</v>
      </c>
      <c r="I321" s="46">
        <v>-9.0758304880496521E-2</v>
      </c>
      <c r="J321" s="46">
        <v>5.603292890113587E-2</v>
      </c>
    </row>
    <row r="322" spans="1:10" ht="11.25" customHeight="1" x14ac:dyDescent="0.2">
      <c r="A322" s="55">
        <v>44743</v>
      </c>
      <c r="B322" s="45">
        <v>0</v>
      </c>
      <c r="C322" s="45">
        <v>0</v>
      </c>
      <c r="D322" s="45">
        <v>8518.9103999999988</v>
      </c>
      <c r="E322" s="45">
        <v>9422.0574052212269</v>
      </c>
      <c r="F322" s="45">
        <v>2900.7692999999999</v>
      </c>
      <c r="G322" s="45">
        <v>2637.5003954826152</v>
      </c>
      <c r="H322" s="46">
        <v>0.10601672782251925</v>
      </c>
      <c r="I322" s="46">
        <v>-9.0758304880496632E-2</v>
      </c>
      <c r="J322" s="46">
        <v>5.603292890113587E-2</v>
      </c>
    </row>
    <row r="323" spans="1:10" ht="11.25" customHeight="1" x14ac:dyDescent="0.2">
      <c r="A323" s="55">
        <v>44774</v>
      </c>
      <c r="B323" s="45">
        <v>0</v>
      </c>
      <c r="C323" s="45">
        <v>0</v>
      </c>
      <c r="D323" s="45">
        <v>8518.9103999999988</v>
      </c>
      <c r="E323" s="45">
        <v>9422.0574052212269</v>
      </c>
      <c r="F323" s="45">
        <v>2900.7692999999999</v>
      </c>
      <c r="G323" s="45">
        <v>2637.5003954826152</v>
      </c>
      <c r="H323" s="46">
        <v>0.10601672782251925</v>
      </c>
      <c r="I323" s="46">
        <v>-9.0758304880496632E-2</v>
      </c>
      <c r="J323" s="46">
        <v>5.603292890113587E-2</v>
      </c>
    </row>
    <row r="324" spans="1:10" ht="11.25" customHeight="1" x14ac:dyDescent="0.2">
      <c r="A324" s="48" t="s">
        <v>43</v>
      </c>
      <c r="B324" s="45">
        <v>0</v>
      </c>
      <c r="C324" s="45">
        <v>0</v>
      </c>
      <c r="D324" s="45">
        <v>1410331.5253019999</v>
      </c>
      <c r="E324" s="45">
        <v>1773021.1090557217</v>
      </c>
      <c r="F324" s="45">
        <v>422578.54476600001</v>
      </c>
      <c r="G324" s="45">
        <v>410419.53721287055</v>
      </c>
      <c r="H324" s="46">
        <v>0.2571661891171706</v>
      </c>
      <c r="I324" s="46">
        <v>-2.877336699586186E-2</v>
      </c>
      <c r="J324" s="46">
        <v>0.19124264846642913</v>
      </c>
    </row>
    <row r="325" spans="1:10" ht="11.25" customHeight="1" x14ac:dyDescent="0.2">
      <c r="A325" s="49" t="s">
        <v>23</v>
      </c>
      <c r="B325" s="45">
        <v>0</v>
      </c>
      <c r="C325" s="45">
        <v>0</v>
      </c>
      <c r="D325" s="45">
        <v>1410331.5253019999</v>
      </c>
      <c r="E325" s="45">
        <v>1773021.1090557217</v>
      </c>
      <c r="F325" s="45">
        <v>422578.54476600001</v>
      </c>
      <c r="G325" s="45">
        <v>410419.53721287055</v>
      </c>
      <c r="H325" s="46">
        <v>0.2571661891171706</v>
      </c>
      <c r="I325" s="46">
        <v>-2.877336699586186E-2</v>
      </c>
      <c r="J325" s="46">
        <v>0.19124264846642913</v>
      </c>
    </row>
    <row r="326" spans="1:10" ht="11.25" customHeight="1" x14ac:dyDescent="0.2">
      <c r="A326" s="50" t="s">
        <v>44</v>
      </c>
      <c r="B326" s="45">
        <v>0</v>
      </c>
      <c r="C326" s="45">
        <v>0</v>
      </c>
      <c r="D326" s="45">
        <v>1410331.5253019999</v>
      </c>
      <c r="E326" s="45">
        <v>1773021.1090557217</v>
      </c>
      <c r="F326" s="45">
        <v>422578.54476600001</v>
      </c>
      <c r="G326" s="45">
        <v>410419.53721287055</v>
      </c>
      <c r="H326" s="46">
        <v>0.2571661891171706</v>
      </c>
      <c r="I326" s="46">
        <v>-2.877336699586186E-2</v>
      </c>
      <c r="J326" s="46">
        <v>0.19124264846642913</v>
      </c>
    </row>
    <row r="327" spans="1:10" ht="11.25" customHeight="1" x14ac:dyDescent="0.2">
      <c r="A327" s="51" t="s">
        <v>52</v>
      </c>
      <c r="B327" s="45">
        <v>0</v>
      </c>
      <c r="C327" s="45">
        <v>0</v>
      </c>
      <c r="D327" s="45">
        <v>12761.008222</v>
      </c>
      <c r="E327" s="45">
        <v>16042.70807574462</v>
      </c>
      <c r="F327" s="45">
        <v>3823.5891259999994</v>
      </c>
      <c r="G327" s="45">
        <v>3713.5715928362151</v>
      </c>
      <c r="H327" s="46">
        <v>0.2571661891171706</v>
      </c>
      <c r="I327" s="46">
        <v>-2.877336699586186E-2</v>
      </c>
      <c r="J327" s="46">
        <v>0.19124264846642913</v>
      </c>
    </row>
    <row r="328" spans="1:10" ht="11.25" customHeight="1" x14ac:dyDescent="0.2">
      <c r="A328" s="52" t="s">
        <v>53</v>
      </c>
      <c r="B328" s="45">
        <v>0</v>
      </c>
      <c r="C328" s="45">
        <v>0</v>
      </c>
      <c r="D328" s="45">
        <v>11094.092089999998</v>
      </c>
      <c r="E328" s="45">
        <v>13947.117474500244</v>
      </c>
      <c r="F328" s="45">
        <v>3324.12997</v>
      </c>
      <c r="G328" s="45">
        <v>3228.4835584312464</v>
      </c>
      <c r="H328" s="46">
        <v>0.2571661891171706</v>
      </c>
      <c r="I328" s="46">
        <v>-2.8773366995862082E-2</v>
      </c>
      <c r="J328" s="46">
        <v>0.19124264846642891</v>
      </c>
    </row>
    <row r="329" spans="1:10" ht="11.25" customHeight="1" x14ac:dyDescent="0.2">
      <c r="A329" s="53" t="s">
        <v>25</v>
      </c>
      <c r="B329" s="45">
        <v>0</v>
      </c>
      <c r="C329" s="45">
        <v>0</v>
      </c>
      <c r="D329" s="45">
        <v>11094.092089999998</v>
      </c>
      <c r="E329" s="45">
        <v>13947.117474500244</v>
      </c>
      <c r="F329" s="45">
        <v>3324.12997</v>
      </c>
      <c r="G329" s="45">
        <v>3228.4835584312464</v>
      </c>
      <c r="H329" s="46">
        <v>0.2571661891171706</v>
      </c>
      <c r="I329" s="46">
        <v>-2.8773366995862082E-2</v>
      </c>
      <c r="J329" s="46">
        <v>0.19124264846642891</v>
      </c>
    </row>
    <row r="330" spans="1:10" ht="11.25" customHeight="1" x14ac:dyDescent="0.2">
      <c r="A330" s="54" t="s">
        <v>25</v>
      </c>
      <c r="B330" s="45">
        <v>0</v>
      </c>
      <c r="C330" s="45">
        <v>0</v>
      </c>
      <c r="D330" s="45">
        <v>11094.092089999998</v>
      </c>
      <c r="E330" s="45">
        <v>13947.117474500244</v>
      </c>
      <c r="F330" s="45">
        <v>3324.12997</v>
      </c>
      <c r="G330" s="45">
        <v>3228.4835584312464</v>
      </c>
      <c r="H330" s="46">
        <v>0.2571661891171706</v>
      </c>
      <c r="I330" s="46">
        <v>-2.8773366995862082E-2</v>
      </c>
      <c r="J330" s="46">
        <v>0.19124264846642891</v>
      </c>
    </row>
    <row r="331" spans="1:10" ht="11.25" customHeight="1" x14ac:dyDescent="0.2">
      <c r="A331" s="55">
        <v>44440</v>
      </c>
      <c r="B331" s="45">
        <v>0</v>
      </c>
      <c r="C331" s="45">
        <v>0</v>
      </c>
      <c r="D331" s="45">
        <v>414.83139999999997</v>
      </c>
      <c r="E331" s="45">
        <v>521.51201026414049</v>
      </c>
      <c r="F331" s="45">
        <v>124.29619999999998</v>
      </c>
      <c r="G331" s="45">
        <v>120.71977982120893</v>
      </c>
      <c r="H331" s="46">
        <v>0.25716618911717037</v>
      </c>
      <c r="I331" s="46">
        <v>-2.8773366995861971E-2</v>
      </c>
      <c r="J331" s="46">
        <v>0.19124264846642891</v>
      </c>
    </row>
    <row r="332" spans="1:10" ht="11.25" customHeight="1" x14ac:dyDescent="0.2">
      <c r="A332" s="55">
        <v>44470</v>
      </c>
      <c r="B332" s="45">
        <v>0</v>
      </c>
      <c r="C332" s="45">
        <v>0</v>
      </c>
      <c r="D332" s="45">
        <v>481.02790000000005</v>
      </c>
      <c r="E332" s="45">
        <v>604.73201190203531</v>
      </c>
      <c r="F332" s="45">
        <v>144.13069999999999</v>
      </c>
      <c r="G332" s="45">
        <v>139.98357447352953</v>
      </c>
      <c r="H332" s="46">
        <v>0.25716618911717015</v>
      </c>
      <c r="I332" s="46">
        <v>-2.877336699586186E-2</v>
      </c>
      <c r="J332" s="46">
        <v>0.19124264846642891</v>
      </c>
    </row>
    <row r="333" spans="1:10" ht="11.25" customHeight="1" x14ac:dyDescent="0.2">
      <c r="A333" s="55">
        <v>44501</v>
      </c>
      <c r="B333" s="45">
        <v>0</v>
      </c>
      <c r="C333" s="45">
        <v>0</v>
      </c>
      <c r="D333" s="45">
        <v>1039.28505</v>
      </c>
      <c r="E333" s="45">
        <v>1306.5540257149478</v>
      </c>
      <c r="F333" s="45">
        <v>311.40164999999996</v>
      </c>
      <c r="G333" s="45">
        <v>302.44157604143305</v>
      </c>
      <c r="H333" s="46">
        <v>0.25716618911717037</v>
      </c>
      <c r="I333" s="46">
        <v>-2.877336699586186E-2</v>
      </c>
      <c r="J333" s="46">
        <v>0.19124264846642891</v>
      </c>
    </row>
    <row r="334" spans="1:10" ht="11.25" customHeight="1" x14ac:dyDescent="0.2">
      <c r="A334" s="55">
        <v>44531</v>
      </c>
      <c r="B334" s="45">
        <v>0</v>
      </c>
      <c r="C334" s="45">
        <v>0</v>
      </c>
      <c r="D334" s="45">
        <v>1488.53863</v>
      </c>
      <c r="E334" s="45">
        <v>1871.3404368307936</v>
      </c>
      <c r="F334" s="45">
        <v>446.01179000000002</v>
      </c>
      <c r="G334" s="45">
        <v>433.17852908184869</v>
      </c>
      <c r="H334" s="46">
        <v>0.25716618911717037</v>
      </c>
      <c r="I334" s="46">
        <v>-2.8773366995861971E-2</v>
      </c>
      <c r="J334" s="46">
        <v>0.19124264846642869</v>
      </c>
    </row>
    <row r="335" spans="1:10" ht="11.25" customHeight="1" x14ac:dyDescent="0.2">
      <c r="A335" s="55">
        <v>44562</v>
      </c>
      <c r="B335" s="45">
        <v>0</v>
      </c>
      <c r="C335" s="45">
        <v>0</v>
      </c>
      <c r="D335" s="45">
        <v>1119.1621600000001</v>
      </c>
      <c r="E335" s="45">
        <v>1406.9728276913409</v>
      </c>
      <c r="F335" s="45">
        <v>335.33527999999995</v>
      </c>
      <c r="G335" s="45">
        <v>325.68655492189987</v>
      </c>
      <c r="H335" s="46">
        <v>0.25716618911717015</v>
      </c>
      <c r="I335" s="46">
        <v>-2.877336699586186E-2</v>
      </c>
      <c r="J335" s="46">
        <v>0.19124264846642869</v>
      </c>
    </row>
    <row r="336" spans="1:10" ht="11.25" customHeight="1" x14ac:dyDescent="0.2">
      <c r="A336" s="55">
        <v>44593</v>
      </c>
      <c r="B336" s="45">
        <v>0</v>
      </c>
      <c r="C336" s="45">
        <v>0</v>
      </c>
      <c r="D336" s="45">
        <v>1415.28117</v>
      </c>
      <c r="E336" s="45">
        <v>1779.2436350181899</v>
      </c>
      <c r="F336" s="45">
        <v>424.06160999999997</v>
      </c>
      <c r="G336" s="45">
        <v>411.85992966661388</v>
      </c>
      <c r="H336" s="46">
        <v>0.25716618911717015</v>
      </c>
      <c r="I336" s="46">
        <v>-2.8773366995861971E-2</v>
      </c>
      <c r="J336" s="46">
        <v>0.19124264846642891</v>
      </c>
    </row>
    <row r="337" spans="1:10" ht="11.25" customHeight="1" x14ac:dyDescent="0.2">
      <c r="A337" s="55">
        <v>44621</v>
      </c>
      <c r="B337" s="45">
        <v>0</v>
      </c>
      <c r="C337" s="45">
        <v>0</v>
      </c>
      <c r="D337" s="45">
        <v>3629.77475</v>
      </c>
      <c r="E337" s="45">
        <v>4563.2300898112289</v>
      </c>
      <c r="F337" s="45">
        <v>1087.5917499999998</v>
      </c>
      <c r="G337" s="45">
        <v>1056.2980734355781</v>
      </c>
      <c r="H337" s="46">
        <v>0.25716618911717015</v>
      </c>
      <c r="I337" s="46">
        <v>-2.8773366995861971E-2</v>
      </c>
      <c r="J337" s="46">
        <v>0.19124264846642869</v>
      </c>
    </row>
    <row r="338" spans="1:10" ht="11.25" customHeight="1" x14ac:dyDescent="0.2">
      <c r="A338" s="55">
        <v>44652</v>
      </c>
      <c r="B338" s="45">
        <v>0</v>
      </c>
      <c r="C338" s="45">
        <v>0</v>
      </c>
      <c r="D338" s="45">
        <v>-1605.0444699999998</v>
      </c>
      <c r="E338" s="45">
        <v>-2017.8076397134882</v>
      </c>
      <c r="F338" s="45">
        <v>-480.92050999999992</v>
      </c>
      <c r="G338" s="45">
        <v>-467.08280766993289</v>
      </c>
      <c r="H338" s="46">
        <v>0.25716618911717037</v>
      </c>
      <c r="I338" s="46">
        <v>-2.877336699586186E-2</v>
      </c>
      <c r="J338" s="46">
        <v>0.19124264846642891</v>
      </c>
    </row>
    <row r="339" spans="1:10" ht="11.25" customHeight="1" x14ac:dyDescent="0.2">
      <c r="A339" s="55">
        <v>44682</v>
      </c>
      <c r="B339" s="45">
        <v>0</v>
      </c>
      <c r="C339" s="45">
        <v>0</v>
      </c>
      <c r="D339" s="45">
        <v>717.5700599999999</v>
      </c>
      <c r="E339" s="45">
        <v>902.10481775477922</v>
      </c>
      <c r="F339" s="45">
        <v>215.00597999999997</v>
      </c>
      <c r="G339" s="45">
        <v>208.81953403115503</v>
      </c>
      <c r="H339" s="46">
        <v>0.25716618911717037</v>
      </c>
      <c r="I339" s="46">
        <v>-2.877336699586186E-2</v>
      </c>
      <c r="J339" s="46">
        <v>0.19124264846642891</v>
      </c>
    </row>
    <row r="340" spans="1:10" ht="11.25" customHeight="1" x14ac:dyDescent="0.2">
      <c r="A340" s="55">
        <v>44713</v>
      </c>
      <c r="B340" s="45">
        <v>0</v>
      </c>
      <c r="C340" s="45">
        <v>0</v>
      </c>
      <c r="D340" s="45">
        <v>778.47083999999995</v>
      </c>
      <c r="E340" s="45">
        <v>978.66721926164246</v>
      </c>
      <c r="F340" s="45">
        <v>233.25371999999999</v>
      </c>
      <c r="G340" s="45">
        <v>226.54222511128998</v>
      </c>
      <c r="H340" s="46">
        <v>0.25716618911717037</v>
      </c>
      <c r="I340" s="46">
        <v>-2.877336699586186E-2</v>
      </c>
      <c r="J340" s="46">
        <v>0.19124264846642913</v>
      </c>
    </row>
    <row r="341" spans="1:10" ht="11.25" customHeight="1" x14ac:dyDescent="0.2">
      <c r="A341" s="55">
        <v>44743</v>
      </c>
      <c r="B341" s="45">
        <v>0</v>
      </c>
      <c r="C341" s="45">
        <v>0</v>
      </c>
      <c r="D341" s="45">
        <v>807.59730000000002</v>
      </c>
      <c r="E341" s="45">
        <v>1015.2840199823162</v>
      </c>
      <c r="F341" s="45">
        <v>241.98089999999999</v>
      </c>
      <c r="G341" s="45">
        <v>235.01829475831104</v>
      </c>
      <c r="H341" s="46">
        <v>0.25716618911717037</v>
      </c>
      <c r="I341" s="46">
        <v>-2.877336699586186E-2</v>
      </c>
      <c r="J341" s="46">
        <v>0.19124264846642913</v>
      </c>
    </row>
    <row r="342" spans="1:10" ht="11.25" customHeight="1" x14ac:dyDescent="0.2">
      <c r="A342" s="55">
        <v>44774</v>
      </c>
      <c r="B342" s="45">
        <v>0</v>
      </c>
      <c r="C342" s="45">
        <v>0</v>
      </c>
      <c r="D342" s="45">
        <v>807.59730000000002</v>
      </c>
      <c r="E342" s="45">
        <v>1015.2840199823162</v>
      </c>
      <c r="F342" s="45">
        <v>241.98089999999999</v>
      </c>
      <c r="G342" s="45">
        <v>235.01829475831104</v>
      </c>
      <c r="H342" s="46">
        <v>0.25716618911717037</v>
      </c>
      <c r="I342" s="46">
        <v>-2.877336699586186E-2</v>
      </c>
      <c r="J342" s="46">
        <v>0.19124264846642913</v>
      </c>
    </row>
    <row r="343" spans="1:10" ht="11.25" customHeight="1" x14ac:dyDescent="0.2">
      <c r="A343" s="52" t="s">
        <v>54</v>
      </c>
      <c r="B343" s="45">
        <v>0</v>
      </c>
      <c r="C343" s="45">
        <v>0</v>
      </c>
      <c r="D343" s="45">
        <v>1666.9161319999998</v>
      </c>
      <c r="E343" s="45">
        <v>2095.5906012443738</v>
      </c>
      <c r="F343" s="45">
        <v>499.45915599999989</v>
      </c>
      <c r="G343" s="45">
        <v>485.08803440496843</v>
      </c>
      <c r="H343" s="46">
        <v>0.25716618911717037</v>
      </c>
      <c r="I343" s="46">
        <v>-2.8773366995861971E-2</v>
      </c>
      <c r="J343" s="46">
        <v>0.19124264846642891</v>
      </c>
    </row>
    <row r="344" spans="1:10" ht="11.25" customHeight="1" x14ac:dyDescent="0.2">
      <c r="A344" s="53" t="s">
        <v>25</v>
      </c>
      <c r="B344" s="45">
        <v>0</v>
      </c>
      <c r="C344" s="45">
        <v>0</v>
      </c>
      <c r="D344" s="45">
        <v>1666.9161319999998</v>
      </c>
      <c r="E344" s="45">
        <v>2095.5906012443738</v>
      </c>
      <c r="F344" s="45">
        <v>499.45915599999989</v>
      </c>
      <c r="G344" s="45">
        <v>485.08803440496843</v>
      </c>
      <c r="H344" s="46">
        <v>0.25716618911717037</v>
      </c>
      <c r="I344" s="46">
        <v>-2.8773366995861971E-2</v>
      </c>
      <c r="J344" s="46">
        <v>0.19124264846642891</v>
      </c>
    </row>
    <row r="345" spans="1:10" ht="11.25" customHeight="1" x14ac:dyDescent="0.2">
      <c r="A345" s="54" t="s">
        <v>25</v>
      </c>
      <c r="B345" s="45">
        <v>0</v>
      </c>
      <c r="C345" s="45">
        <v>0</v>
      </c>
      <c r="D345" s="45">
        <v>1666.9161319999998</v>
      </c>
      <c r="E345" s="45">
        <v>2095.5906012443738</v>
      </c>
      <c r="F345" s="45">
        <v>499.45915599999989</v>
      </c>
      <c r="G345" s="45">
        <v>485.08803440496843</v>
      </c>
      <c r="H345" s="46">
        <v>0.25716618911717037</v>
      </c>
      <c r="I345" s="46">
        <v>-2.8773366995861971E-2</v>
      </c>
      <c r="J345" s="46">
        <v>0.19124264846642891</v>
      </c>
    </row>
    <row r="346" spans="1:10" ht="11.25" customHeight="1" x14ac:dyDescent="0.2">
      <c r="A346" s="55">
        <v>44440</v>
      </c>
      <c r="B346" s="45">
        <v>0</v>
      </c>
      <c r="C346" s="45">
        <v>0</v>
      </c>
      <c r="D346" s="45">
        <v>117.56498400000001</v>
      </c>
      <c r="E346" s="45">
        <v>147.79872290890111</v>
      </c>
      <c r="F346" s="45">
        <v>35.226072000000002</v>
      </c>
      <c r="G346" s="45">
        <v>34.212499302521344</v>
      </c>
      <c r="H346" s="46">
        <v>0.25716618911717037</v>
      </c>
      <c r="I346" s="46">
        <v>-2.8773366995861971E-2</v>
      </c>
      <c r="J346" s="46">
        <v>0.19124264846642869</v>
      </c>
    </row>
    <row r="347" spans="1:10" ht="11.25" customHeight="1" x14ac:dyDescent="0.2">
      <c r="A347" s="55">
        <v>44470</v>
      </c>
      <c r="B347" s="45">
        <v>0</v>
      </c>
      <c r="C347" s="45">
        <v>0</v>
      </c>
      <c r="D347" s="45">
        <v>128.86251999999999</v>
      </c>
      <c r="E347" s="45">
        <v>162.00160318843513</v>
      </c>
      <c r="F347" s="45">
        <v>38.611159999999998</v>
      </c>
      <c r="G347" s="45">
        <v>37.500186923184053</v>
      </c>
      <c r="H347" s="46">
        <v>0.25716618911717037</v>
      </c>
      <c r="I347" s="46">
        <v>-2.8773366995861971E-2</v>
      </c>
      <c r="J347" s="46">
        <v>0.19124264846642869</v>
      </c>
    </row>
    <row r="348" spans="1:10" ht="11.25" customHeight="1" x14ac:dyDescent="0.2">
      <c r="A348" s="55">
        <v>44501</v>
      </c>
      <c r="B348" s="45">
        <v>0</v>
      </c>
      <c r="C348" s="45">
        <v>0</v>
      </c>
      <c r="D348" s="45">
        <v>303.09170799999998</v>
      </c>
      <c r="E348" s="45">
        <v>381.03664749937411</v>
      </c>
      <c r="F348" s="45">
        <v>90.815563999999995</v>
      </c>
      <c r="G348" s="45">
        <v>88.202494448091798</v>
      </c>
      <c r="H348" s="46">
        <v>0.25716618911717015</v>
      </c>
      <c r="I348" s="46">
        <v>-2.8773366995862082E-2</v>
      </c>
      <c r="J348" s="46">
        <v>0.19124264846642869</v>
      </c>
    </row>
    <row r="349" spans="1:10" ht="11.25" customHeight="1" x14ac:dyDescent="0.2">
      <c r="A349" s="55">
        <v>44531</v>
      </c>
      <c r="B349" s="45">
        <v>0</v>
      </c>
      <c r="C349" s="45">
        <v>0</v>
      </c>
      <c r="D349" s="45">
        <v>393.64852000000002</v>
      </c>
      <c r="E349" s="45">
        <v>494.8816097400142</v>
      </c>
      <c r="F349" s="45">
        <v>117.94915999999999</v>
      </c>
      <c r="G349" s="45">
        <v>114.55536553246635</v>
      </c>
      <c r="H349" s="46">
        <v>0.25716618911717015</v>
      </c>
      <c r="I349" s="46">
        <v>-2.8773366995861971E-2</v>
      </c>
      <c r="J349" s="46">
        <v>0.19124264846642891</v>
      </c>
    </row>
    <row r="350" spans="1:10" ht="11.25" customHeight="1" x14ac:dyDescent="0.2">
      <c r="A350" s="55">
        <v>44562</v>
      </c>
      <c r="B350" s="45">
        <v>0</v>
      </c>
      <c r="C350" s="45">
        <v>0</v>
      </c>
      <c r="D350" s="45">
        <v>76.964464000000007</v>
      </c>
      <c r="E350" s="45">
        <v>96.757121904325643</v>
      </c>
      <c r="F350" s="45">
        <v>23.060911999999998</v>
      </c>
      <c r="G350" s="45">
        <v>22.397371915764722</v>
      </c>
      <c r="H350" s="46">
        <v>0.25716618911717015</v>
      </c>
      <c r="I350" s="46">
        <v>-2.877336699586186E-2</v>
      </c>
      <c r="J350" s="46">
        <v>0.19124264846642869</v>
      </c>
    </row>
    <row r="351" spans="1:10" ht="11.25" customHeight="1" x14ac:dyDescent="0.2">
      <c r="A351" s="55">
        <v>44593</v>
      </c>
      <c r="B351" s="45">
        <v>0</v>
      </c>
      <c r="C351" s="45">
        <v>0</v>
      </c>
      <c r="D351" s="45">
        <v>180.05447999999998</v>
      </c>
      <c r="E351" s="45">
        <v>226.35840445507375</v>
      </c>
      <c r="F351" s="45">
        <v>53.949839999999995</v>
      </c>
      <c r="G351" s="45">
        <v>52.397521454311963</v>
      </c>
      <c r="H351" s="46">
        <v>0.25716618911717037</v>
      </c>
      <c r="I351" s="46">
        <v>-2.8773366995861971E-2</v>
      </c>
      <c r="J351" s="46">
        <v>0.19124264846642891</v>
      </c>
    </row>
    <row r="352" spans="1:10" ht="11.25" customHeight="1" x14ac:dyDescent="0.2">
      <c r="A352" s="55">
        <v>44621</v>
      </c>
      <c r="B352" s="45">
        <v>0</v>
      </c>
      <c r="C352" s="45">
        <v>0</v>
      </c>
      <c r="D352" s="45">
        <v>154.63502399999999</v>
      </c>
      <c r="E352" s="45">
        <v>194.40192382612216</v>
      </c>
      <c r="F352" s="45">
        <v>46.333391999999996</v>
      </c>
      <c r="G352" s="45">
        <v>45.000224307820865</v>
      </c>
      <c r="H352" s="46">
        <v>0.25716618911717037</v>
      </c>
      <c r="I352" s="46">
        <v>-2.877336699586186E-2</v>
      </c>
      <c r="J352" s="46">
        <v>0.19124264846642891</v>
      </c>
    </row>
    <row r="353" spans="1:10" ht="11.25" customHeight="1" x14ac:dyDescent="0.2">
      <c r="A353" s="55">
        <v>44652</v>
      </c>
      <c r="B353" s="45">
        <v>0</v>
      </c>
      <c r="C353" s="45">
        <v>0</v>
      </c>
      <c r="D353" s="45">
        <v>119.859796</v>
      </c>
      <c r="E353" s="45">
        <v>150.68368296568144</v>
      </c>
      <c r="F353" s="45">
        <v>35.913668000000001</v>
      </c>
      <c r="G353" s="45">
        <v>34.880310850468454</v>
      </c>
      <c r="H353" s="46">
        <v>0.25716618911717015</v>
      </c>
      <c r="I353" s="46">
        <v>-2.8773366995862082E-2</v>
      </c>
      <c r="J353" s="46">
        <v>0.19124264846642869</v>
      </c>
    </row>
    <row r="354" spans="1:10" ht="11.25" customHeight="1" x14ac:dyDescent="0.2">
      <c r="A354" s="55">
        <v>44682</v>
      </c>
      <c r="B354" s="45">
        <v>0</v>
      </c>
      <c r="C354" s="45">
        <v>0</v>
      </c>
      <c r="D354" s="45">
        <v>67.079120000000003</v>
      </c>
      <c r="E354" s="45">
        <v>84.329601659733356</v>
      </c>
      <c r="F354" s="45">
        <v>20.098959999999998</v>
      </c>
      <c r="G354" s="45">
        <v>19.52064524768485</v>
      </c>
      <c r="H354" s="46">
        <v>0.25716618911717015</v>
      </c>
      <c r="I354" s="46">
        <v>-2.877336699586186E-2</v>
      </c>
      <c r="J354" s="46">
        <v>0.19124264846642891</v>
      </c>
    </row>
    <row r="355" spans="1:10" ht="11.25" customHeight="1" x14ac:dyDescent="0.2">
      <c r="A355" s="55">
        <v>44713</v>
      </c>
      <c r="B355" s="45">
        <v>0</v>
      </c>
      <c r="C355" s="45">
        <v>0</v>
      </c>
      <c r="D355" s="45">
        <v>47.484956000000004</v>
      </c>
      <c r="E355" s="45">
        <v>59.696481174916514</v>
      </c>
      <c r="F355" s="45">
        <v>14.227948</v>
      </c>
      <c r="G355" s="45">
        <v>13.81856203059796</v>
      </c>
      <c r="H355" s="46">
        <v>0.25716618911717015</v>
      </c>
      <c r="I355" s="46">
        <v>-2.8773366995861971E-2</v>
      </c>
      <c r="J355" s="46">
        <v>0.19124264846642891</v>
      </c>
    </row>
    <row r="356" spans="1:10" ht="11.25" customHeight="1" x14ac:dyDescent="0.2">
      <c r="A356" s="55">
        <v>44743</v>
      </c>
      <c r="B356" s="45">
        <v>0</v>
      </c>
      <c r="C356" s="45">
        <v>0</v>
      </c>
      <c r="D356" s="45">
        <v>38.835279999999997</v>
      </c>
      <c r="E356" s="45">
        <v>48.822400960898257</v>
      </c>
      <c r="F356" s="45">
        <v>11.636239999999999</v>
      </c>
      <c r="G356" s="45">
        <v>11.30142619602807</v>
      </c>
      <c r="H356" s="46">
        <v>0.25716618911717037</v>
      </c>
      <c r="I356" s="46">
        <v>-2.8773366995861971E-2</v>
      </c>
      <c r="J356" s="46">
        <v>0.19124264846642869</v>
      </c>
    </row>
    <row r="357" spans="1:10" ht="11.25" customHeight="1" x14ac:dyDescent="0.2">
      <c r="A357" s="55">
        <v>44774</v>
      </c>
      <c r="B357" s="45">
        <v>0</v>
      </c>
      <c r="C357" s="45">
        <v>0</v>
      </c>
      <c r="D357" s="45">
        <v>38.835279999999997</v>
      </c>
      <c r="E357" s="45">
        <v>48.822400960898257</v>
      </c>
      <c r="F357" s="45">
        <v>11.636239999999999</v>
      </c>
      <c r="G357" s="45">
        <v>11.30142619602807</v>
      </c>
      <c r="H357" s="46">
        <v>0.25716618911717037</v>
      </c>
      <c r="I357" s="46">
        <v>-2.8773366995861971E-2</v>
      </c>
      <c r="J357" s="46">
        <v>0.19124264846642869</v>
      </c>
    </row>
    <row r="358" spans="1:10" ht="11.25" customHeight="1" x14ac:dyDescent="0.2">
      <c r="A358" s="51" t="s">
        <v>25</v>
      </c>
      <c r="B358" s="45">
        <v>0</v>
      </c>
      <c r="C358" s="45">
        <v>0</v>
      </c>
      <c r="D358" s="45">
        <v>1397570.5170799999</v>
      </c>
      <c r="E358" s="45">
        <v>1756978.4009799771</v>
      </c>
      <c r="F358" s="45">
        <v>418754.95563999994</v>
      </c>
      <c r="G358" s="45">
        <v>406705.96562003426</v>
      </c>
      <c r="H358" s="46">
        <v>0.25716618911717082</v>
      </c>
      <c r="I358" s="46">
        <v>-2.8773366995861749E-2</v>
      </c>
      <c r="J358" s="46">
        <v>0.19124264846642935</v>
      </c>
    </row>
    <row r="359" spans="1:10" ht="11.25" customHeight="1" x14ac:dyDescent="0.2">
      <c r="A359" s="52" t="s">
        <v>25</v>
      </c>
      <c r="B359" s="45">
        <v>0</v>
      </c>
      <c r="C359" s="45">
        <v>0</v>
      </c>
      <c r="D359" s="45">
        <v>1397570.5170799999</v>
      </c>
      <c r="E359" s="45">
        <v>1756978.4009799771</v>
      </c>
      <c r="F359" s="45">
        <v>418754.95563999994</v>
      </c>
      <c r="G359" s="45">
        <v>406705.96562003426</v>
      </c>
      <c r="H359" s="46">
        <v>0.25716618911717082</v>
      </c>
      <c r="I359" s="46">
        <v>-2.8773366995861749E-2</v>
      </c>
      <c r="J359" s="46">
        <v>0.19124264846642935</v>
      </c>
    </row>
    <row r="360" spans="1:10" ht="11.25" customHeight="1" x14ac:dyDescent="0.2">
      <c r="A360" s="53" t="s">
        <v>25</v>
      </c>
      <c r="B360" s="45">
        <v>0</v>
      </c>
      <c r="C360" s="45">
        <v>0</v>
      </c>
      <c r="D360" s="45">
        <v>1397570.5170799999</v>
      </c>
      <c r="E360" s="45">
        <v>1756978.4009799771</v>
      </c>
      <c r="F360" s="45">
        <v>418754.95563999994</v>
      </c>
      <c r="G360" s="45">
        <v>406705.96562003426</v>
      </c>
      <c r="H360" s="46">
        <v>0.25716618911717082</v>
      </c>
      <c r="I360" s="46">
        <v>-2.8773366995861749E-2</v>
      </c>
      <c r="J360" s="46">
        <v>0.19124264846642935</v>
      </c>
    </row>
    <row r="361" spans="1:10" ht="11.25" customHeight="1" x14ac:dyDescent="0.2">
      <c r="A361" s="54" t="s">
        <v>25</v>
      </c>
      <c r="B361" s="45">
        <v>0</v>
      </c>
      <c r="C361" s="45">
        <v>0</v>
      </c>
      <c r="D361" s="45">
        <v>1397570.5170799999</v>
      </c>
      <c r="E361" s="45">
        <v>1756978.4009799771</v>
      </c>
      <c r="F361" s="45">
        <v>418754.95563999994</v>
      </c>
      <c r="G361" s="45">
        <v>406705.96562003426</v>
      </c>
      <c r="H361" s="46">
        <v>0.25716618911717082</v>
      </c>
      <c r="I361" s="46">
        <v>-2.8773366995861749E-2</v>
      </c>
      <c r="J361" s="46">
        <v>0.19124264846642935</v>
      </c>
    </row>
    <row r="362" spans="1:10" ht="11.25" customHeight="1" x14ac:dyDescent="0.2">
      <c r="A362" s="55">
        <v>44440</v>
      </c>
      <c r="B362" s="45">
        <v>0</v>
      </c>
      <c r="C362" s="45">
        <v>0</v>
      </c>
      <c r="D362" s="45">
        <v>108069.31673000001</v>
      </c>
      <c r="E362" s="45">
        <v>135861.09107395055</v>
      </c>
      <c r="F362" s="45">
        <v>32380.879089999999</v>
      </c>
      <c r="G362" s="45">
        <v>31449.172172294795</v>
      </c>
      <c r="H362" s="46">
        <v>0.25716618911717015</v>
      </c>
      <c r="I362" s="46">
        <v>-2.8773366995861971E-2</v>
      </c>
      <c r="J362" s="46">
        <v>0.19124264846642869</v>
      </c>
    </row>
    <row r="363" spans="1:10" ht="11.25" customHeight="1" x14ac:dyDescent="0.2">
      <c r="A363" s="55">
        <v>44470</v>
      </c>
      <c r="B363" s="45">
        <v>0</v>
      </c>
      <c r="C363" s="45">
        <v>0</v>
      </c>
      <c r="D363" s="45">
        <v>133644.11384999999</v>
      </c>
      <c r="E363" s="45">
        <v>168012.86130674573</v>
      </c>
      <c r="F363" s="45">
        <v>40043.872049999991</v>
      </c>
      <c r="G363" s="45">
        <v>38891.675023570009</v>
      </c>
      <c r="H363" s="46">
        <v>0.25716618911717037</v>
      </c>
      <c r="I363" s="46">
        <v>-2.8773366995861749E-2</v>
      </c>
      <c r="J363" s="46">
        <v>0.19124264846642913</v>
      </c>
    </row>
    <row r="364" spans="1:10" ht="11.25" customHeight="1" x14ac:dyDescent="0.2">
      <c r="A364" s="55">
        <v>44501</v>
      </c>
      <c r="B364" s="45">
        <v>0</v>
      </c>
      <c r="C364" s="45">
        <v>0</v>
      </c>
      <c r="D364" s="45">
        <v>147824.72808</v>
      </c>
      <c r="E364" s="45">
        <v>185840.25005761554</v>
      </c>
      <c r="F364" s="45">
        <v>44292.81863999999</v>
      </c>
      <c r="G364" s="45">
        <v>43018.365113990119</v>
      </c>
      <c r="H364" s="46">
        <v>0.25716618911717015</v>
      </c>
      <c r="I364" s="46">
        <v>-2.877336699586186E-2</v>
      </c>
      <c r="J364" s="46">
        <v>0.19124264846642891</v>
      </c>
    </row>
    <row r="365" spans="1:10" ht="11.25" customHeight="1" x14ac:dyDescent="0.2">
      <c r="A365" s="55">
        <v>44531</v>
      </c>
      <c r="B365" s="45">
        <v>0</v>
      </c>
      <c r="C365" s="45">
        <v>0</v>
      </c>
      <c r="D365" s="45">
        <v>141670.21882000004</v>
      </c>
      <c r="E365" s="45">
        <v>178103.00910533502</v>
      </c>
      <c r="F365" s="45">
        <v>42448.73906</v>
      </c>
      <c r="G365" s="45">
        <v>41227.34591251504</v>
      </c>
      <c r="H365" s="46">
        <v>0.25716618911716993</v>
      </c>
      <c r="I365" s="46">
        <v>-2.8773366995861971E-2</v>
      </c>
      <c r="J365" s="46">
        <v>0.19124264846642869</v>
      </c>
    </row>
    <row r="366" spans="1:10" ht="11.25" customHeight="1" x14ac:dyDescent="0.2">
      <c r="A366" s="55">
        <v>44562</v>
      </c>
      <c r="B366" s="45">
        <v>0</v>
      </c>
      <c r="C366" s="45">
        <v>0</v>
      </c>
      <c r="D366" s="45">
        <v>141955.74639000001</v>
      </c>
      <c r="E366" s="45">
        <v>178461.96471239981</v>
      </c>
      <c r="F366" s="45">
        <v>42534.291869999994</v>
      </c>
      <c r="G366" s="45">
        <v>41310.437080115378</v>
      </c>
      <c r="H366" s="46">
        <v>0.25716618911717015</v>
      </c>
      <c r="I366" s="46">
        <v>-2.877336699586186E-2</v>
      </c>
      <c r="J366" s="46">
        <v>0.19124264846642891</v>
      </c>
    </row>
    <row r="367" spans="1:10" ht="11.25" customHeight="1" x14ac:dyDescent="0.2">
      <c r="A367" s="55">
        <v>44593</v>
      </c>
      <c r="B367" s="45">
        <v>0</v>
      </c>
      <c r="C367" s="45">
        <v>0</v>
      </c>
      <c r="D367" s="45">
        <v>119177.97205000001</v>
      </c>
      <c r="E367" s="45">
        <v>149826.51694881113</v>
      </c>
      <c r="F367" s="45">
        <v>35709.372649999998</v>
      </c>
      <c r="G367" s="45">
        <v>34681.893765549554</v>
      </c>
      <c r="H367" s="46">
        <v>0.25716618911717015</v>
      </c>
      <c r="I367" s="46">
        <v>-2.877336699586186E-2</v>
      </c>
      <c r="J367" s="46">
        <v>0.19124264846642869</v>
      </c>
    </row>
    <row r="368" spans="1:10" ht="11.25" customHeight="1" x14ac:dyDescent="0.2">
      <c r="A368" s="55">
        <v>44621</v>
      </c>
      <c r="B368" s="45">
        <v>0</v>
      </c>
      <c r="C368" s="45">
        <v>0</v>
      </c>
      <c r="D368" s="45">
        <v>111195.11546</v>
      </c>
      <c r="E368" s="45">
        <v>139790.73955129195</v>
      </c>
      <c r="F368" s="45">
        <v>33317.464179999995</v>
      </c>
      <c r="G368" s="45">
        <v>32358.808555777374</v>
      </c>
      <c r="H368" s="46">
        <v>0.25716618911717037</v>
      </c>
      <c r="I368" s="46">
        <v>-2.877336699586186E-2</v>
      </c>
      <c r="J368" s="46">
        <v>0.19124264846642891</v>
      </c>
    </row>
    <row r="369" spans="1:10" ht="11.25" customHeight="1" x14ac:dyDescent="0.2">
      <c r="A369" s="55">
        <v>44652</v>
      </c>
      <c r="B369" s="45">
        <v>0</v>
      </c>
      <c r="C369" s="45">
        <v>0</v>
      </c>
      <c r="D369" s="45">
        <v>101806.24521000001</v>
      </c>
      <c r="E369" s="45">
        <v>127987.36931898387</v>
      </c>
      <c r="F369" s="45">
        <v>30504.270929999999</v>
      </c>
      <c r="G369" s="45">
        <v>29626.560347589908</v>
      </c>
      <c r="H369" s="46">
        <v>0.25716618911717015</v>
      </c>
      <c r="I369" s="46">
        <v>-2.877336699586186E-2</v>
      </c>
      <c r="J369" s="46">
        <v>0.19124264846642847</v>
      </c>
    </row>
    <row r="370" spans="1:10" ht="11.25" customHeight="1" x14ac:dyDescent="0.2">
      <c r="A370" s="55">
        <v>44682</v>
      </c>
      <c r="B370" s="45">
        <v>0</v>
      </c>
      <c r="C370" s="45">
        <v>0</v>
      </c>
      <c r="D370" s="45">
        <v>95070.971989999991</v>
      </c>
      <c r="E370" s="45">
        <v>119520.01155233354</v>
      </c>
      <c r="F370" s="45">
        <v>28486.176669999997</v>
      </c>
      <c r="G370" s="45">
        <v>27666.533454365126</v>
      </c>
      <c r="H370" s="46">
        <v>0.25716618911717037</v>
      </c>
      <c r="I370" s="46">
        <v>-2.8773366995861971E-2</v>
      </c>
      <c r="J370" s="46">
        <v>0.19124264846642891</v>
      </c>
    </row>
    <row r="371" spans="1:10" ht="11.25" customHeight="1" x14ac:dyDescent="0.2">
      <c r="A371" s="55">
        <v>44713</v>
      </c>
      <c r="B371" s="45">
        <v>0</v>
      </c>
      <c r="C371" s="45">
        <v>0</v>
      </c>
      <c r="D371" s="45">
        <v>102954.97514</v>
      </c>
      <c r="E371" s="45">
        <v>129431.5137474068</v>
      </c>
      <c r="F371" s="45">
        <v>30848.465620000003</v>
      </c>
      <c r="G371" s="45">
        <v>29960.85139745651</v>
      </c>
      <c r="H371" s="46">
        <v>0.25716618911717037</v>
      </c>
      <c r="I371" s="46">
        <v>-2.8773366995861971E-2</v>
      </c>
      <c r="J371" s="46">
        <v>0.19124264846642891</v>
      </c>
    </row>
    <row r="372" spans="1:10" ht="11.25" customHeight="1" x14ac:dyDescent="0.2">
      <c r="A372" s="55">
        <v>44743</v>
      </c>
      <c r="B372" s="45">
        <v>0</v>
      </c>
      <c r="C372" s="45">
        <v>0</v>
      </c>
      <c r="D372" s="45">
        <v>97100.556680000009</v>
      </c>
      <c r="E372" s="45">
        <v>122071.5368025514</v>
      </c>
      <c r="F372" s="45">
        <v>29094.302439999996</v>
      </c>
      <c r="G372" s="45">
        <v>28257.161398405278</v>
      </c>
      <c r="H372" s="46">
        <v>0.25716618911717037</v>
      </c>
      <c r="I372" s="46">
        <v>-2.877336699586186E-2</v>
      </c>
      <c r="J372" s="46">
        <v>0.19124264846642891</v>
      </c>
    </row>
    <row r="373" spans="1:10" ht="11.25" customHeight="1" x14ac:dyDescent="0.2">
      <c r="A373" s="55">
        <v>44774</v>
      </c>
      <c r="B373" s="45">
        <v>0</v>
      </c>
      <c r="C373" s="45">
        <v>0</v>
      </c>
      <c r="D373" s="45">
        <v>97100.556680000009</v>
      </c>
      <c r="E373" s="45">
        <v>122071.5368025514</v>
      </c>
      <c r="F373" s="45">
        <v>29094.302439999996</v>
      </c>
      <c r="G373" s="45">
        <v>28257.161398405278</v>
      </c>
      <c r="H373" s="46">
        <v>0.25716618911717037</v>
      </c>
      <c r="I373" s="46">
        <v>-2.877336699586186E-2</v>
      </c>
      <c r="J373" s="46">
        <v>0.19124264846642891</v>
      </c>
    </row>
    <row r="374" spans="1:10" ht="11.25" customHeight="1" x14ac:dyDescent="0.2">
      <c r="A374" s="48" t="s">
        <v>33</v>
      </c>
      <c r="B374" s="45">
        <v>0</v>
      </c>
      <c r="C374" s="45">
        <v>0</v>
      </c>
      <c r="D374" s="45">
        <v>7340654.1461335998</v>
      </c>
      <c r="E374" s="45">
        <v>8639558.6165356841</v>
      </c>
      <c r="F374" s="45">
        <v>2201826.9191731988</v>
      </c>
      <c r="G374" s="45">
        <v>2001992.8403487937</v>
      </c>
      <c r="H374" s="46">
        <v>0.1769466922898455</v>
      </c>
      <c r="I374" s="46">
        <v>-9.0758304880496077E-2</v>
      </c>
      <c r="J374" s="46">
        <v>0.11517658605302561</v>
      </c>
    </row>
    <row r="375" spans="1:10" ht="11.25" customHeight="1" x14ac:dyDescent="0.2">
      <c r="A375" s="49" t="s">
        <v>41</v>
      </c>
      <c r="B375" s="45">
        <v>0</v>
      </c>
      <c r="C375" s="45">
        <v>0</v>
      </c>
      <c r="D375" s="45">
        <v>30374.168119999995</v>
      </c>
      <c r="E375" s="45">
        <v>35784.486630257212</v>
      </c>
      <c r="F375" s="45">
        <v>11425.16936</v>
      </c>
      <c r="G375" s="45">
        <v>10388.240355913809</v>
      </c>
      <c r="H375" s="46">
        <v>0.17812236005550952</v>
      </c>
      <c r="I375" s="46">
        <v>-9.0758304880496854E-2</v>
      </c>
      <c r="J375" s="46">
        <v>0.10462820154179697</v>
      </c>
    </row>
    <row r="376" spans="1:10" ht="11.25" customHeight="1" x14ac:dyDescent="0.2">
      <c r="A376" s="50" t="s">
        <v>40</v>
      </c>
      <c r="B376" s="45">
        <v>0</v>
      </c>
      <c r="C376" s="45">
        <v>0</v>
      </c>
      <c r="D376" s="45">
        <v>30374.168119999995</v>
      </c>
      <c r="E376" s="45">
        <v>35784.486630257212</v>
      </c>
      <c r="F376" s="45">
        <v>11425.16936</v>
      </c>
      <c r="G376" s="45">
        <v>10388.240355913809</v>
      </c>
      <c r="H376" s="46">
        <v>0.17812236005550952</v>
      </c>
      <c r="I376" s="46">
        <v>-9.0758304880496854E-2</v>
      </c>
      <c r="J376" s="46">
        <v>0.10462820154179697</v>
      </c>
    </row>
    <row r="377" spans="1:10" ht="11.25" customHeight="1" x14ac:dyDescent="0.2">
      <c r="A377" s="51" t="s">
        <v>25</v>
      </c>
      <c r="B377" s="45">
        <v>0</v>
      </c>
      <c r="C377" s="45">
        <v>0</v>
      </c>
      <c r="D377" s="45">
        <v>30374.168119999995</v>
      </c>
      <c r="E377" s="45">
        <v>35784.486630257212</v>
      </c>
      <c r="F377" s="45">
        <v>11425.16936</v>
      </c>
      <c r="G377" s="45">
        <v>10388.240355913809</v>
      </c>
      <c r="H377" s="46">
        <v>0.17812236005550952</v>
      </c>
      <c r="I377" s="46">
        <v>-9.0758304880496854E-2</v>
      </c>
      <c r="J377" s="46">
        <v>0.10462820154179697</v>
      </c>
    </row>
    <row r="378" spans="1:10" ht="11.25" customHeight="1" x14ac:dyDescent="0.2">
      <c r="A378" s="52" t="s">
        <v>25</v>
      </c>
      <c r="B378" s="45">
        <v>0</v>
      </c>
      <c r="C378" s="45">
        <v>0</v>
      </c>
      <c r="D378" s="45">
        <v>30374.168119999995</v>
      </c>
      <c r="E378" s="45">
        <v>35784.486630257212</v>
      </c>
      <c r="F378" s="45">
        <v>11425.16936</v>
      </c>
      <c r="G378" s="45">
        <v>10388.240355913809</v>
      </c>
      <c r="H378" s="46">
        <v>0.17812236005550952</v>
      </c>
      <c r="I378" s="46">
        <v>-9.0758304880496854E-2</v>
      </c>
      <c r="J378" s="46">
        <v>0.10462820154179697</v>
      </c>
    </row>
    <row r="379" spans="1:10" ht="11.25" customHeight="1" x14ac:dyDescent="0.2">
      <c r="A379" s="53" t="s">
        <v>25</v>
      </c>
      <c r="B379" s="45">
        <v>0</v>
      </c>
      <c r="C379" s="45">
        <v>0</v>
      </c>
      <c r="D379" s="45">
        <v>30374.168119999995</v>
      </c>
      <c r="E379" s="45">
        <v>35784.486630257212</v>
      </c>
      <c r="F379" s="45">
        <v>11425.16936</v>
      </c>
      <c r="G379" s="45">
        <v>10388.240355913809</v>
      </c>
      <c r="H379" s="46">
        <v>0.17812236005550952</v>
      </c>
      <c r="I379" s="46">
        <v>-9.0758304880496854E-2</v>
      </c>
      <c r="J379" s="46">
        <v>0.10462820154179697</v>
      </c>
    </row>
    <row r="380" spans="1:10" ht="11.25" customHeight="1" x14ac:dyDescent="0.2">
      <c r="A380" s="54" t="s">
        <v>38</v>
      </c>
      <c r="B380" s="45">
        <v>0</v>
      </c>
      <c r="C380" s="45">
        <v>0</v>
      </c>
      <c r="D380" s="45">
        <v>27145.204240000006</v>
      </c>
      <c r="E380" s="45">
        <v>32137.871601970528</v>
      </c>
      <c r="F380" s="45">
        <v>11014.659040000002</v>
      </c>
      <c r="G380" s="45">
        <v>10014.987256692961</v>
      </c>
      <c r="H380" s="46">
        <v>0.18392447217669261</v>
      </c>
      <c r="I380" s="46">
        <v>-9.0758304880496854E-2</v>
      </c>
      <c r="J380" s="46">
        <v>0.10463862381698452</v>
      </c>
    </row>
    <row r="381" spans="1:10" ht="11.25" customHeight="1" x14ac:dyDescent="0.2">
      <c r="A381" s="55">
        <v>44440</v>
      </c>
      <c r="B381" s="45">
        <v>0</v>
      </c>
      <c r="C381" s="45">
        <v>0</v>
      </c>
      <c r="D381" s="45">
        <v>2622.1651100000004</v>
      </c>
      <c r="E381" s="45">
        <v>3104.4454438168909</v>
      </c>
      <c r="F381" s="45">
        <v>1063.9910600000001</v>
      </c>
      <c r="G381" s="45">
        <v>967.42503498639724</v>
      </c>
      <c r="H381" s="46">
        <v>0.18392447217669305</v>
      </c>
      <c r="I381" s="46">
        <v>-9.0758304880496632E-2</v>
      </c>
      <c r="J381" s="46">
        <v>0.10463862381698497</v>
      </c>
    </row>
    <row r="382" spans="1:10" ht="11.25" customHeight="1" x14ac:dyDescent="0.2">
      <c r="A382" s="55">
        <v>44470</v>
      </c>
      <c r="B382" s="45">
        <v>0</v>
      </c>
      <c r="C382" s="45">
        <v>0</v>
      </c>
      <c r="D382" s="45">
        <v>1988.5647000000001</v>
      </c>
      <c r="E382" s="45">
        <v>2354.3104128367045</v>
      </c>
      <c r="F382" s="45">
        <v>806.89620000000002</v>
      </c>
      <c r="G382" s="45">
        <v>733.66366867348574</v>
      </c>
      <c r="H382" s="46">
        <v>0.18392447217669328</v>
      </c>
      <c r="I382" s="46">
        <v>-9.0758304880496743E-2</v>
      </c>
      <c r="J382" s="46">
        <v>0.10463862381698497</v>
      </c>
    </row>
    <row r="383" spans="1:10" ht="11.25" customHeight="1" x14ac:dyDescent="0.2">
      <c r="A383" s="55">
        <v>44501</v>
      </c>
      <c r="B383" s="45">
        <v>0</v>
      </c>
      <c r="C383" s="45">
        <v>0</v>
      </c>
      <c r="D383" s="45">
        <v>2094.8436700000002</v>
      </c>
      <c r="E383" s="45">
        <v>2480.1366862974369</v>
      </c>
      <c r="F383" s="45">
        <v>850.02081999999996</v>
      </c>
      <c r="G383" s="45">
        <v>772.87437126367024</v>
      </c>
      <c r="H383" s="46">
        <v>0.18392447217669305</v>
      </c>
      <c r="I383" s="46">
        <v>-9.0758304880496632E-2</v>
      </c>
      <c r="J383" s="46">
        <v>0.10463862381698497</v>
      </c>
    </row>
    <row r="384" spans="1:10" ht="11.25" customHeight="1" x14ac:dyDescent="0.2">
      <c r="A384" s="55">
        <v>44531</v>
      </c>
      <c r="B384" s="45">
        <v>0</v>
      </c>
      <c r="C384" s="45">
        <v>0</v>
      </c>
      <c r="D384" s="45">
        <v>3372.04286</v>
      </c>
      <c r="E384" s="45">
        <v>3992.2440631826871</v>
      </c>
      <c r="F384" s="45">
        <v>1368.26756</v>
      </c>
      <c r="G384" s="45">
        <v>1244.0859156314266</v>
      </c>
      <c r="H384" s="46">
        <v>0.18392447217669328</v>
      </c>
      <c r="I384" s="46">
        <v>-9.0758304880496743E-2</v>
      </c>
      <c r="J384" s="46">
        <v>0.10463862381698497</v>
      </c>
    </row>
    <row r="385" spans="1:10" ht="11.25" customHeight="1" x14ac:dyDescent="0.2">
      <c r="A385" s="55">
        <v>44562</v>
      </c>
      <c r="B385" s="45">
        <v>0</v>
      </c>
      <c r="C385" s="45">
        <v>0</v>
      </c>
      <c r="D385" s="45">
        <v>3067.6480400000005</v>
      </c>
      <c r="E385" s="45">
        <v>3631.8635865808678</v>
      </c>
      <c r="F385" s="45">
        <v>1244.7538400000001</v>
      </c>
      <c r="G385" s="45">
        <v>1131.7820914881111</v>
      </c>
      <c r="H385" s="46">
        <v>0.18392447217669305</v>
      </c>
      <c r="I385" s="46">
        <v>-9.0758304880496743E-2</v>
      </c>
      <c r="J385" s="46">
        <v>0.10463862381698497</v>
      </c>
    </row>
    <row r="386" spans="1:10" ht="11.25" customHeight="1" x14ac:dyDescent="0.2">
      <c r="A386" s="55">
        <v>44593</v>
      </c>
      <c r="B386" s="45">
        <v>0</v>
      </c>
      <c r="C386" s="45">
        <v>0</v>
      </c>
      <c r="D386" s="45">
        <v>3150.5974799999999</v>
      </c>
      <c r="E386" s="45">
        <v>3730.0694585502192</v>
      </c>
      <c r="F386" s="45">
        <v>1278.4120799999998</v>
      </c>
      <c r="G386" s="45">
        <v>1162.38556668045</v>
      </c>
      <c r="H386" s="46">
        <v>0.18392447217669305</v>
      </c>
      <c r="I386" s="46">
        <v>-9.0758304880496632E-2</v>
      </c>
      <c r="J386" s="46">
        <v>0.10463862381698474</v>
      </c>
    </row>
    <row r="387" spans="1:10" ht="11.25" customHeight="1" x14ac:dyDescent="0.2">
      <c r="A387" s="55">
        <v>44621</v>
      </c>
      <c r="B387" s="45">
        <v>0</v>
      </c>
      <c r="C387" s="45">
        <v>0</v>
      </c>
      <c r="D387" s="45">
        <v>2341.8404399999999</v>
      </c>
      <c r="E387" s="45">
        <v>2772.5622068490347</v>
      </c>
      <c r="F387" s="45">
        <v>950.24423999999988</v>
      </c>
      <c r="G387" s="45">
        <v>864.00168355514415</v>
      </c>
      <c r="H387" s="46">
        <v>0.18392447217669305</v>
      </c>
      <c r="I387" s="46">
        <v>-9.0758304880496521E-2</v>
      </c>
      <c r="J387" s="46">
        <v>0.10463862381698474</v>
      </c>
    </row>
    <row r="388" spans="1:10" ht="11.25" customHeight="1" x14ac:dyDescent="0.2">
      <c r="A388" s="55">
        <v>44652</v>
      </c>
      <c r="B388" s="45">
        <v>0</v>
      </c>
      <c r="C388" s="45">
        <v>0</v>
      </c>
      <c r="D388" s="45">
        <v>2338.1373400000002</v>
      </c>
      <c r="E388" s="45">
        <v>2768.1780161361175</v>
      </c>
      <c r="F388" s="45">
        <v>948.74163999999996</v>
      </c>
      <c r="G388" s="45">
        <v>862.63545698405756</v>
      </c>
      <c r="H388" s="46">
        <v>0.18392447217669305</v>
      </c>
      <c r="I388" s="46">
        <v>-9.0758304880496632E-2</v>
      </c>
      <c r="J388" s="46">
        <v>0.10463862381698474</v>
      </c>
    </row>
    <row r="389" spans="1:10" ht="11.25" customHeight="1" x14ac:dyDescent="0.2">
      <c r="A389" s="55">
        <v>44682</v>
      </c>
      <c r="B389" s="45">
        <v>0</v>
      </c>
      <c r="C389" s="45">
        <v>0</v>
      </c>
      <c r="D389" s="45">
        <v>1935.2400600000001</v>
      </c>
      <c r="E389" s="45">
        <v>2291.178066570692</v>
      </c>
      <c r="F389" s="45">
        <v>785.25875999999994</v>
      </c>
      <c r="G389" s="45">
        <v>713.99000604983928</v>
      </c>
      <c r="H389" s="46">
        <v>0.18392447217669305</v>
      </c>
      <c r="I389" s="46">
        <v>-9.0758304880496521E-2</v>
      </c>
      <c r="J389" s="46">
        <v>0.10463862381698497</v>
      </c>
    </row>
    <row r="390" spans="1:10" ht="11.25" customHeight="1" x14ac:dyDescent="0.2">
      <c r="A390" s="55">
        <v>44713</v>
      </c>
      <c r="B390" s="45">
        <v>0</v>
      </c>
      <c r="C390" s="45">
        <v>0</v>
      </c>
      <c r="D390" s="45">
        <v>1788.5973000000001</v>
      </c>
      <c r="E390" s="45">
        <v>2117.5641143391586</v>
      </c>
      <c r="F390" s="45">
        <v>725.75580000000002</v>
      </c>
      <c r="G390" s="45">
        <v>659.88743383481119</v>
      </c>
      <c r="H390" s="46">
        <v>0.18392447217669305</v>
      </c>
      <c r="I390" s="46">
        <v>-9.0758304880496743E-2</v>
      </c>
      <c r="J390" s="46">
        <v>0.10463862381698474</v>
      </c>
    </row>
    <row r="391" spans="1:10" ht="11.25" customHeight="1" x14ac:dyDescent="0.2">
      <c r="A391" s="55">
        <v>44743</v>
      </c>
      <c r="B391" s="45">
        <v>0</v>
      </c>
      <c r="C391" s="45">
        <v>0</v>
      </c>
      <c r="D391" s="45">
        <v>1222.7636199999999</v>
      </c>
      <c r="E391" s="45">
        <v>1447.6597734053628</v>
      </c>
      <c r="F391" s="45">
        <v>496.15851999999995</v>
      </c>
      <c r="G391" s="45">
        <v>451.12801377278402</v>
      </c>
      <c r="H391" s="46">
        <v>0.18392447217669328</v>
      </c>
      <c r="I391" s="46">
        <v>-9.0758304880496521E-2</v>
      </c>
      <c r="J391" s="46">
        <v>0.10463862381698497</v>
      </c>
    </row>
    <row r="392" spans="1:10" ht="11.25" customHeight="1" x14ac:dyDescent="0.2">
      <c r="A392" s="55">
        <v>44774</v>
      </c>
      <c r="B392" s="45">
        <v>0</v>
      </c>
      <c r="C392" s="45">
        <v>0</v>
      </c>
      <c r="D392" s="45">
        <v>1222.7636199999999</v>
      </c>
      <c r="E392" s="45">
        <v>1447.6597734053628</v>
      </c>
      <c r="F392" s="45">
        <v>496.15851999999995</v>
      </c>
      <c r="G392" s="45">
        <v>451.12801377278402</v>
      </c>
      <c r="H392" s="46">
        <v>0.18392447217669328</v>
      </c>
      <c r="I392" s="46">
        <v>-9.0758304880496521E-2</v>
      </c>
      <c r="J392" s="46">
        <v>0.10463862381698497</v>
      </c>
    </row>
    <row r="393" spans="1:10" ht="11.25" customHeight="1" x14ac:dyDescent="0.2">
      <c r="A393" s="54" t="s">
        <v>42</v>
      </c>
      <c r="B393" s="45">
        <v>0</v>
      </c>
      <c r="C393" s="45">
        <v>0</v>
      </c>
      <c r="D393" s="45">
        <v>1591.9892399999999</v>
      </c>
      <c r="E393" s="45">
        <v>1807.3135112778705</v>
      </c>
      <c r="F393" s="45">
        <v>250.63368</v>
      </c>
      <c r="G393" s="45">
        <v>227.88659205723917</v>
      </c>
      <c r="H393" s="46">
        <v>0.13525485340458121</v>
      </c>
      <c r="I393" s="46">
        <v>-9.0758304880496632E-2</v>
      </c>
      <c r="J393" s="46">
        <v>0.10451253007050942</v>
      </c>
    </row>
    <row r="394" spans="1:10" ht="11.25" customHeight="1" x14ac:dyDescent="0.2">
      <c r="A394" s="55">
        <v>44440</v>
      </c>
      <c r="B394" s="45">
        <v>0</v>
      </c>
      <c r="C394" s="45">
        <v>0</v>
      </c>
      <c r="D394" s="45">
        <v>76.354399999999998</v>
      </c>
      <c r="E394" s="45">
        <v>86.681703178794749</v>
      </c>
      <c r="F394" s="45">
        <v>12.020799999999999</v>
      </c>
      <c r="G394" s="45">
        <v>10.929812568692526</v>
      </c>
      <c r="H394" s="46">
        <v>0.13525485340458121</v>
      </c>
      <c r="I394" s="46">
        <v>-9.0758304880496632E-2</v>
      </c>
      <c r="J394" s="46">
        <v>0.10451253007050942</v>
      </c>
    </row>
    <row r="395" spans="1:10" ht="11.25" customHeight="1" x14ac:dyDescent="0.2">
      <c r="A395" s="55">
        <v>44470</v>
      </c>
      <c r="B395" s="45">
        <v>0</v>
      </c>
      <c r="C395" s="45">
        <v>0</v>
      </c>
      <c r="D395" s="45">
        <v>90.670850000000002</v>
      </c>
      <c r="E395" s="45">
        <v>102.93452252481876</v>
      </c>
      <c r="F395" s="45">
        <v>14.274699999999999</v>
      </c>
      <c r="G395" s="45">
        <v>12.979152425322374</v>
      </c>
      <c r="H395" s="46">
        <v>0.13525485340458099</v>
      </c>
      <c r="I395" s="46">
        <v>-9.0758304880496632E-2</v>
      </c>
      <c r="J395" s="46">
        <v>0.1045125300705092</v>
      </c>
    </row>
    <row r="396" spans="1:10" ht="11.25" customHeight="1" x14ac:dyDescent="0.2">
      <c r="A396" s="55">
        <v>44501</v>
      </c>
      <c r="B396" s="45">
        <v>0</v>
      </c>
      <c r="C396" s="45">
        <v>0</v>
      </c>
      <c r="D396" s="45">
        <v>99.260719999999992</v>
      </c>
      <c r="E396" s="45">
        <v>112.68621413243316</v>
      </c>
      <c r="F396" s="45">
        <v>15.627039999999999</v>
      </c>
      <c r="G396" s="45">
        <v>14.208756339300283</v>
      </c>
      <c r="H396" s="46">
        <v>0.13525485340458121</v>
      </c>
      <c r="I396" s="46">
        <v>-9.0758304880496632E-2</v>
      </c>
      <c r="J396" s="46">
        <v>0.10451253007050942</v>
      </c>
    </row>
    <row r="397" spans="1:10" ht="11.25" customHeight="1" x14ac:dyDescent="0.2">
      <c r="A397" s="55">
        <v>44531</v>
      </c>
      <c r="B397" s="45">
        <v>0</v>
      </c>
      <c r="C397" s="45">
        <v>0</v>
      </c>
      <c r="D397" s="45">
        <v>254.83280999999999</v>
      </c>
      <c r="E397" s="45">
        <v>289.30018435922744</v>
      </c>
      <c r="F397" s="45">
        <v>40.119419999999998</v>
      </c>
      <c r="G397" s="45">
        <v>36.478249448011304</v>
      </c>
      <c r="H397" s="46">
        <v>0.13525485340458099</v>
      </c>
      <c r="I397" s="46">
        <v>-9.0758304880496632E-2</v>
      </c>
      <c r="J397" s="46">
        <v>0.1045125300705092</v>
      </c>
    </row>
    <row r="398" spans="1:10" ht="11.25" customHeight="1" x14ac:dyDescent="0.2">
      <c r="A398" s="55">
        <v>44562</v>
      </c>
      <c r="B398" s="45">
        <v>0</v>
      </c>
      <c r="C398" s="45">
        <v>0</v>
      </c>
      <c r="D398" s="45">
        <v>251.96951999999999</v>
      </c>
      <c r="E398" s="45">
        <v>286.04962049002268</v>
      </c>
      <c r="F398" s="45">
        <v>39.668639999999996</v>
      </c>
      <c r="G398" s="45">
        <v>36.068381476685339</v>
      </c>
      <c r="H398" s="46">
        <v>0.13525485340458121</v>
      </c>
      <c r="I398" s="46">
        <v>-9.0758304880496521E-2</v>
      </c>
      <c r="J398" s="46">
        <v>0.10451253007050942</v>
      </c>
    </row>
    <row r="399" spans="1:10" ht="11.25" customHeight="1" x14ac:dyDescent="0.2">
      <c r="A399" s="55">
        <v>44593</v>
      </c>
      <c r="B399" s="45">
        <v>0</v>
      </c>
      <c r="C399" s="45">
        <v>0</v>
      </c>
      <c r="D399" s="45">
        <v>197.56700999999998</v>
      </c>
      <c r="E399" s="45">
        <v>224.2889069751314</v>
      </c>
      <c r="F399" s="45">
        <v>31.103819999999995</v>
      </c>
      <c r="G399" s="45">
        <v>28.28089002149191</v>
      </c>
      <c r="H399" s="46">
        <v>0.13525485340458121</v>
      </c>
      <c r="I399" s="46">
        <v>-9.0758304880496521E-2</v>
      </c>
      <c r="J399" s="46">
        <v>0.10451253007050942</v>
      </c>
    </row>
    <row r="400" spans="1:10" ht="11.25" customHeight="1" x14ac:dyDescent="0.2">
      <c r="A400" s="55">
        <v>44621</v>
      </c>
      <c r="B400" s="45">
        <v>0</v>
      </c>
      <c r="C400" s="45">
        <v>0</v>
      </c>
      <c r="D400" s="45">
        <v>153.66323</v>
      </c>
      <c r="E400" s="45">
        <v>174.44692764732443</v>
      </c>
      <c r="F400" s="45">
        <v>24.191859999999998</v>
      </c>
      <c r="G400" s="45">
        <v>21.996247794493708</v>
      </c>
      <c r="H400" s="46">
        <v>0.13525485340458121</v>
      </c>
      <c r="I400" s="46">
        <v>-9.0758304880496632E-2</v>
      </c>
      <c r="J400" s="46">
        <v>0.10451253007050942</v>
      </c>
    </row>
    <row r="401" spans="1:10" ht="11.25" customHeight="1" x14ac:dyDescent="0.2">
      <c r="A401" s="55">
        <v>44652</v>
      </c>
      <c r="B401" s="45">
        <v>0</v>
      </c>
      <c r="C401" s="45">
        <v>0</v>
      </c>
      <c r="D401" s="45">
        <v>95.442999999999998</v>
      </c>
      <c r="E401" s="45">
        <v>108.35212897349344</v>
      </c>
      <c r="F401" s="45">
        <v>15.026</v>
      </c>
      <c r="G401" s="45">
        <v>13.662265710865658</v>
      </c>
      <c r="H401" s="46">
        <v>0.13525485340458121</v>
      </c>
      <c r="I401" s="46">
        <v>-9.0758304880496632E-2</v>
      </c>
      <c r="J401" s="46">
        <v>0.10451253007050942</v>
      </c>
    </row>
    <row r="402" spans="1:10" ht="11.25" customHeight="1" x14ac:dyDescent="0.2">
      <c r="A402" s="55">
        <v>44682</v>
      </c>
      <c r="B402" s="45">
        <v>0</v>
      </c>
      <c r="C402" s="45">
        <v>0</v>
      </c>
      <c r="D402" s="45">
        <v>99.260719999999992</v>
      </c>
      <c r="E402" s="45">
        <v>112.68621413243316</v>
      </c>
      <c r="F402" s="45">
        <v>15.627039999999999</v>
      </c>
      <c r="G402" s="45">
        <v>14.208756339300283</v>
      </c>
      <c r="H402" s="46">
        <v>0.13525485340458121</v>
      </c>
      <c r="I402" s="46">
        <v>-9.0758304880496632E-2</v>
      </c>
      <c r="J402" s="46">
        <v>0.10451253007050942</v>
      </c>
    </row>
    <row r="403" spans="1:10" ht="11.25" customHeight="1" x14ac:dyDescent="0.2">
      <c r="A403" s="55">
        <v>44713</v>
      </c>
      <c r="B403" s="45">
        <v>0</v>
      </c>
      <c r="C403" s="45">
        <v>0</v>
      </c>
      <c r="D403" s="45">
        <v>104.98729999999999</v>
      </c>
      <c r="E403" s="45">
        <v>119.18734187084277</v>
      </c>
      <c r="F403" s="45">
        <v>16.528600000000001</v>
      </c>
      <c r="G403" s="45">
        <v>15.028492281952223</v>
      </c>
      <c r="H403" s="46">
        <v>0.13525485340458121</v>
      </c>
      <c r="I403" s="46">
        <v>-9.0758304880496632E-2</v>
      </c>
      <c r="J403" s="46">
        <v>0.10451253007050942</v>
      </c>
    </row>
    <row r="404" spans="1:10" ht="11.25" customHeight="1" x14ac:dyDescent="0.2">
      <c r="A404" s="55">
        <v>44743</v>
      </c>
      <c r="B404" s="45">
        <v>0</v>
      </c>
      <c r="C404" s="45">
        <v>0</v>
      </c>
      <c r="D404" s="45">
        <v>83.989839999999987</v>
      </c>
      <c r="E404" s="45">
        <v>95.349873496674206</v>
      </c>
      <c r="F404" s="45">
        <v>13.222879999999998</v>
      </c>
      <c r="G404" s="45">
        <v>12.022793825561777</v>
      </c>
      <c r="H404" s="46">
        <v>0.13525485340458099</v>
      </c>
      <c r="I404" s="46">
        <v>-9.0758304880496632E-2</v>
      </c>
      <c r="J404" s="46">
        <v>0.1045125300705092</v>
      </c>
    </row>
    <row r="405" spans="1:10" ht="11.25" customHeight="1" x14ac:dyDescent="0.2">
      <c r="A405" s="55">
        <v>44774</v>
      </c>
      <c r="B405" s="45">
        <v>0</v>
      </c>
      <c r="C405" s="45">
        <v>0</v>
      </c>
      <c r="D405" s="45">
        <v>83.989839999999987</v>
      </c>
      <c r="E405" s="45">
        <v>95.349873496674206</v>
      </c>
      <c r="F405" s="45">
        <v>13.222879999999998</v>
      </c>
      <c r="G405" s="45">
        <v>12.022793825561777</v>
      </c>
      <c r="H405" s="46">
        <v>0.13525485340458099</v>
      </c>
      <c r="I405" s="46">
        <v>-9.0758304880496632E-2</v>
      </c>
      <c r="J405" s="46">
        <v>0.1045125300705092</v>
      </c>
    </row>
    <row r="406" spans="1:10" ht="11.25" customHeight="1" x14ac:dyDescent="0.2">
      <c r="A406" s="54" t="s">
        <v>37</v>
      </c>
      <c r="B406" s="45">
        <v>0</v>
      </c>
      <c r="C406" s="45">
        <v>0</v>
      </c>
      <c r="D406" s="45">
        <v>1636.9746399999997</v>
      </c>
      <c r="E406" s="45">
        <v>1839.3015170088231</v>
      </c>
      <c r="F406" s="45">
        <v>159.87663999999998</v>
      </c>
      <c r="G406" s="45">
        <v>145.36650716361058</v>
      </c>
      <c r="H406" s="46">
        <v>0.12359805220246023</v>
      </c>
      <c r="I406" s="46">
        <v>-9.0758304880496632E-2</v>
      </c>
      <c r="J406" s="46">
        <v>0.10452548091372038</v>
      </c>
    </row>
    <row r="407" spans="1:10" ht="11.25" customHeight="1" x14ac:dyDescent="0.2">
      <c r="A407" s="55">
        <v>44440</v>
      </c>
      <c r="B407" s="45">
        <v>0</v>
      </c>
      <c r="C407" s="45">
        <v>0</v>
      </c>
      <c r="D407" s="45">
        <v>112.31122999999999</v>
      </c>
      <c r="E407" s="45">
        <v>126.1926792684625</v>
      </c>
      <c r="F407" s="45">
        <v>10.968979999999998</v>
      </c>
      <c r="G407" s="45">
        <v>9.9734539689319295</v>
      </c>
      <c r="H407" s="46">
        <v>0.12359805220246001</v>
      </c>
      <c r="I407" s="46">
        <v>-9.0758304880496521E-2</v>
      </c>
      <c r="J407" s="46">
        <v>0.10452548091372038</v>
      </c>
    </row>
    <row r="408" spans="1:10" ht="11.25" customHeight="1" x14ac:dyDescent="0.2">
      <c r="A408" s="55">
        <v>44470</v>
      </c>
      <c r="B408" s="45">
        <v>0</v>
      </c>
      <c r="C408" s="45">
        <v>0</v>
      </c>
      <c r="D408" s="45">
        <v>175.39014</v>
      </c>
      <c r="E408" s="45">
        <v>197.06801967951679</v>
      </c>
      <c r="F408" s="45">
        <v>17.129639999999998</v>
      </c>
      <c r="G408" s="45">
        <v>15.574982910386849</v>
      </c>
      <c r="H408" s="46">
        <v>0.12359805220246023</v>
      </c>
      <c r="I408" s="46">
        <v>-9.0758304880496632E-2</v>
      </c>
      <c r="J408" s="46">
        <v>0.10452548091372038</v>
      </c>
    </row>
    <row r="409" spans="1:10" ht="11.25" customHeight="1" x14ac:dyDescent="0.2">
      <c r="A409" s="55">
        <v>44501</v>
      </c>
      <c r="B409" s="45">
        <v>0</v>
      </c>
      <c r="C409" s="45">
        <v>0</v>
      </c>
      <c r="D409" s="45">
        <v>113.84974</v>
      </c>
      <c r="E409" s="45">
        <v>127.92134610775651</v>
      </c>
      <c r="F409" s="45">
        <v>11.11924</v>
      </c>
      <c r="G409" s="45">
        <v>10.110076626040586</v>
      </c>
      <c r="H409" s="46">
        <v>0.12359805220246001</v>
      </c>
      <c r="I409" s="46">
        <v>-9.0758304880496632E-2</v>
      </c>
      <c r="J409" s="46">
        <v>0.10452548091372016</v>
      </c>
    </row>
    <row r="410" spans="1:10" ht="11.25" customHeight="1" x14ac:dyDescent="0.2">
      <c r="A410" s="55">
        <v>44531</v>
      </c>
      <c r="B410" s="45">
        <v>0</v>
      </c>
      <c r="C410" s="45">
        <v>0</v>
      </c>
      <c r="D410" s="45">
        <v>166.15907999999999</v>
      </c>
      <c r="E410" s="45">
        <v>186.69601864375275</v>
      </c>
      <c r="F410" s="45">
        <v>16.228079999999999</v>
      </c>
      <c r="G410" s="45">
        <v>14.755246967734909</v>
      </c>
      <c r="H410" s="46">
        <v>0.12359805220246023</v>
      </c>
      <c r="I410" s="46">
        <v>-9.0758304880496632E-2</v>
      </c>
      <c r="J410" s="46">
        <v>0.10452548091372038</v>
      </c>
    </row>
    <row r="411" spans="1:10" ht="11.25" customHeight="1" x14ac:dyDescent="0.2">
      <c r="A411" s="55">
        <v>44562</v>
      </c>
      <c r="B411" s="45">
        <v>0</v>
      </c>
      <c r="C411" s="45">
        <v>0</v>
      </c>
      <c r="D411" s="45">
        <v>193.85226</v>
      </c>
      <c r="E411" s="45">
        <v>217.81202175104488</v>
      </c>
      <c r="F411" s="45">
        <v>18.932759999999998</v>
      </c>
      <c r="G411" s="45">
        <v>17.214454795690727</v>
      </c>
      <c r="H411" s="46">
        <v>0.12359805220246023</v>
      </c>
      <c r="I411" s="46">
        <v>-9.0758304880496632E-2</v>
      </c>
      <c r="J411" s="46">
        <v>0.10452548091372038</v>
      </c>
    </row>
    <row r="412" spans="1:10" ht="11.25" customHeight="1" x14ac:dyDescent="0.2">
      <c r="A412" s="55">
        <v>44593</v>
      </c>
      <c r="B412" s="45">
        <v>0</v>
      </c>
      <c r="C412" s="45">
        <v>0</v>
      </c>
      <c r="D412" s="45">
        <v>133.85037</v>
      </c>
      <c r="E412" s="45">
        <v>150.39401501857859</v>
      </c>
      <c r="F412" s="45">
        <v>13.072619999999999</v>
      </c>
      <c r="G412" s="45">
        <v>11.886171168453121</v>
      </c>
      <c r="H412" s="46">
        <v>0.12359805220246001</v>
      </c>
      <c r="I412" s="46">
        <v>-9.0758304880496632E-2</v>
      </c>
      <c r="J412" s="46">
        <v>0.10452548091372038</v>
      </c>
    </row>
    <row r="413" spans="1:10" ht="11.25" customHeight="1" x14ac:dyDescent="0.2">
      <c r="A413" s="55">
        <v>44621</v>
      </c>
      <c r="B413" s="45">
        <v>0</v>
      </c>
      <c r="C413" s="45">
        <v>0</v>
      </c>
      <c r="D413" s="45">
        <v>126.15782</v>
      </c>
      <c r="E413" s="45">
        <v>141.75068082210856</v>
      </c>
      <c r="F413" s="45">
        <v>12.32132</v>
      </c>
      <c r="G413" s="45">
        <v>11.203057882909839</v>
      </c>
      <c r="H413" s="46">
        <v>0.12359805220246001</v>
      </c>
      <c r="I413" s="46">
        <v>-9.0758304880496632E-2</v>
      </c>
      <c r="J413" s="46">
        <v>0.10452548091372016</v>
      </c>
    </row>
    <row r="414" spans="1:10" ht="11.25" customHeight="1" x14ac:dyDescent="0.2">
      <c r="A414" s="55">
        <v>44652</v>
      </c>
      <c r="B414" s="45">
        <v>0</v>
      </c>
      <c r="C414" s="45">
        <v>0</v>
      </c>
      <c r="D414" s="45">
        <v>101.54166000000001</v>
      </c>
      <c r="E414" s="45">
        <v>114.09201139340446</v>
      </c>
      <c r="F414" s="45">
        <v>9.9171599999999991</v>
      </c>
      <c r="G414" s="45">
        <v>9.0170953691713347</v>
      </c>
      <c r="H414" s="46">
        <v>0.12359805220246001</v>
      </c>
      <c r="I414" s="46">
        <v>-9.0758304880496521E-2</v>
      </c>
      <c r="J414" s="46">
        <v>0.10452548091372038</v>
      </c>
    </row>
    <row r="415" spans="1:10" ht="11.25" customHeight="1" x14ac:dyDescent="0.2">
      <c r="A415" s="55">
        <v>44682</v>
      </c>
      <c r="B415" s="45">
        <v>0</v>
      </c>
      <c r="C415" s="45">
        <v>0</v>
      </c>
      <c r="D415" s="45">
        <v>130.77335000000002</v>
      </c>
      <c r="E415" s="45">
        <v>146.9366813399906</v>
      </c>
      <c r="F415" s="45">
        <v>12.7721</v>
      </c>
      <c r="G415" s="45">
        <v>11.61292585423581</v>
      </c>
      <c r="H415" s="46">
        <v>0.12359805220246001</v>
      </c>
      <c r="I415" s="46">
        <v>-9.0758304880496521E-2</v>
      </c>
      <c r="J415" s="46">
        <v>0.10452548091372038</v>
      </c>
    </row>
    <row r="416" spans="1:10" ht="11.25" customHeight="1" x14ac:dyDescent="0.2">
      <c r="A416" s="55">
        <v>44713</v>
      </c>
      <c r="B416" s="45">
        <v>0</v>
      </c>
      <c r="C416" s="45">
        <v>0</v>
      </c>
      <c r="D416" s="45">
        <v>146.15844999999999</v>
      </c>
      <c r="E416" s="45">
        <v>164.22334973293064</v>
      </c>
      <c r="F416" s="45">
        <v>14.274699999999999</v>
      </c>
      <c r="G416" s="45">
        <v>12.979152425322374</v>
      </c>
      <c r="H416" s="46">
        <v>0.12359805220246001</v>
      </c>
      <c r="I416" s="46">
        <v>-9.0758304880496632E-2</v>
      </c>
      <c r="J416" s="46">
        <v>0.10452548091372038</v>
      </c>
    </row>
    <row r="417" spans="1:10" ht="11.25" customHeight="1" x14ac:dyDescent="0.2">
      <c r="A417" s="55">
        <v>44743</v>
      </c>
      <c r="B417" s="45">
        <v>0</v>
      </c>
      <c r="C417" s="45">
        <v>0</v>
      </c>
      <c r="D417" s="45">
        <v>118.46527</v>
      </c>
      <c r="E417" s="45">
        <v>133.10734662563854</v>
      </c>
      <c r="F417" s="45">
        <v>11.57002</v>
      </c>
      <c r="G417" s="45">
        <v>10.519944597366555</v>
      </c>
      <c r="H417" s="46">
        <v>0.12359805220246023</v>
      </c>
      <c r="I417" s="46">
        <v>-9.0758304880496743E-2</v>
      </c>
      <c r="J417" s="46">
        <v>0.10452548091372038</v>
      </c>
    </row>
    <row r="418" spans="1:10" ht="11.25" customHeight="1" x14ac:dyDescent="0.2">
      <c r="A418" s="55">
        <v>44774</v>
      </c>
      <c r="B418" s="45">
        <v>0</v>
      </c>
      <c r="C418" s="45">
        <v>0</v>
      </c>
      <c r="D418" s="45">
        <v>118.46527</v>
      </c>
      <c r="E418" s="45">
        <v>133.10734662563854</v>
      </c>
      <c r="F418" s="45">
        <v>11.57002</v>
      </c>
      <c r="G418" s="45">
        <v>10.519944597366555</v>
      </c>
      <c r="H418" s="46">
        <v>0.12359805220246023</v>
      </c>
      <c r="I418" s="46">
        <v>-9.0758304880496743E-2</v>
      </c>
      <c r="J418" s="46">
        <v>0.10452548091372038</v>
      </c>
    </row>
    <row r="419" spans="1:10" ht="11.25" customHeight="1" x14ac:dyDescent="0.2">
      <c r="A419" s="49" t="s">
        <v>23</v>
      </c>
      <c r="B419" s="45">
        <v>0</v>
      </c>
      <c r="C419" s="45">
        <v>0</v>
      </c>
      <c r="D419" s="45">
        <v>7310279.9780136012</v>
      </c>
      <c r="E419" s="45">
        <v>8603774.1299054269</v>
      </c>
      <c r="F419" s="45">
        <v>2190401.7498131986</v>
      </c>
      <c r="G419" s="45">
        <v>1991604.5999928799</v>
      </c>
      <c r="H419" s="46">
        <v>0.17694180739754661</v>
      </c>
      <c r="I419" s="46">
        <v>-9.0758304880496077E-2</v>
      </c>
      <c r="J419" s="46">
        <v>0.1152229948789063</v>
      </c>
    </row>
    <row r="420" spans="1:10" ht="11.25" customHeight="1" x14ac:dyDescent="0.2">
      <c r="A420" s="50" t="s">
        <v>40</v>
      </c>
      <c r="B420" s="45">
        <v>0</v>
      </c>
      <c r="C420" s="45">
        <v>0</v>
      </c>
      <c r="D420" s="45">
        <v>4456377.4474800006</v>
      </c>
      <c r="E420" s="45">
        <v>5244896.9274827782</v>
      </c>
      <c r="F420" s="45">
        <v>1335278.1272599995</v>
      </c>
      <c r="G420" s="45">
        <v>1214090.5478858782</v>
      </c>
      <c r="H420" s="46">
        <v>0.17694180739754684</v>
      </c>
      <c r="I420" s="46">
        <v>-9.0758304880496854E-2</v>
      </c>
      <c r="J420" s="46">
        <v>0.11522299487890608</v>
      </c>
    </row>
    <row r="421" spans="1:10" ht="11.25" customHeight="1" x14ac:dyDescent="0.2">
      <c r="A421" s="51" t="s">
        <v>25</v>
      </c>
      <c r="B421" s="45">
        <v>0</v>
      </c>
      <c r="C421" s="45">
        <v>0</v>
      </c>
      <c r="D421" s="45">
        <v>4456377.4474800006</v>
      </c>
      <c r="E421" s="45">
        <v>5244896.9274827782</v>
      </c>
      <c r="F421" s="45">
        <v>1335278.1272599995</v>
      </c>
      <c r="G421" s="45">
        <v>1214090.5478858782</v>
      </c>
      <c r="H421" s="46">
        <v>0.17694180739754684</v>
      </c>
      <c r="I421" s="46">
        <v>-9.0758304880496854E-2</v>
      </c>
      <c r="J421" s="46">
        <v>0.11522299487890608</v>
      </c>
    </row>
    <row r="422" spans="1:10" ht="11.25" customHeight="1" x14ac:dyDescent="0.2">
      <c r="A422" s="52" t="s">
        <v>25</v>
      </c>
      <c r="B422" s="45">
        <v>0</v>
      </c>
      <c r="C422" s="45">
        <v>0</v>
      </c>
      <c r="D422" s="45">
        <v>4456377.4474800006</v>
      </c>
      <c r="E422" s="45">
        <v>5244896.9274827782</v>
      </c>
      <c r="F422" s="45">
        <v>1335278.1272599995</v>
      </c>
      <c r="G422" s="45">
        <v>1214090.5478858782</v>
      </c>
      <c r="H422" s="46">
        <v>0.17694180739754684</v>
      </c>
      <c r="I422" s="46">
        <v>-9.0758304880496854E-2</v>
      </c>
      <c r="J422" s="46">
        <v>0.11522299487890608</v>
      </c>
    </row>
    <row r="423" spans="1:10" ht="11.25" customHeight="1" x14ac:dyDescent="0.2">
      <c r="A423" s="53" t="s">
        <v>25</v>
      </c>
      <c r="B423" s="45">
        <v>0</v>
      </c>
      <c r="C423" s="45">
        <v>0</v>
      </c>
      <c r="D423" s="45">
        <v>4456377.4474800006</v>
      </c>
      <c r="E423" s="45">
        <v>5244896.9274827782</v>
      </c>
      <c r="F423" s="45">
        <v>1335278.1272599995</v>
      </c>
      <c r="G423" s="45">
        <v>1214090.5478858782</v>
      </c>
      <c r="H423" s="46">
        <v>0.17694180739754684</v>
      </c>
      <c r="I423" s="46">
        <v>-9.0758304880496854E-2</v>
      </c>
      <c r="J423" s="46">
        <v>0.11522299487890608</v>
      </c>
    </row>
    <row r="424" spans="1:10" ht="11.25" customHeight="1" x14ac:dyDescent="0.2">
      <c r="A424" s="54" t="s">
        <v>25</v>
      </c>
      <c r="B424" s="45">
        <v>0</v>
      </c>
      <c r="C424" s="45">
        <v>0</v>
      </c>
      <c r="D424" s="45">
        <v>4456377.4474800006</v>
      </c>
      <c r="E424" s="45">
        <v>5244896.9274827782</v>
      </c>
      <c r="F424" s="45">
        <v>1335278.1272599995</v>
      </c>
      <c r="G424" s="45">
        <v>1214090.5478858782</v>
      </c>
      <c r="H424" s="46">
        <v>0.17694180739754684</v>
      </c>
      <c r="I424" s="46">
        <v>-9.0758304880496854E-2</v>
      </c>
      <c r="J424" s="46">
        <v>0.11522299487890608</v>
      </c>
    </row>
    <row r="425" spans="1:10" ht="11.25" customHeight="1" x14ac:dyDescent="0.2">
      <c r="A425" s="55">
        <v>44440</v>
      </c>
      <c r="B425" s="45">
        <v>0</v>
      </c>
      <c r="C425" s="45">
        <v>0</v>
      </c>
      <c r="D425" s="45">
        <v>343910.47068000003</v>
      </c>
      <c r="E425" s="45">
        <v>404762.61094506021</v>
      </c>
      <c r="F425" s="45">
        <v>103046.95565999998</v>
      </c>
      <c r="G425" s="45">
        <v>93694.588641202703</v>
      </c>
      <c r="H425" s="46">
        <v>0.17694180739754661</v>
      </c>
      <c r="I425" s="46">
        <v>-9.075830488049641E-2</v>
      </c>
      <c r="J425" s="46">
        <v>0.1152229948789063</v>
      </c>
    </row>
    <row r="426" spans="1:10" ht="11.25" customHeight="1" x14ac:dyDescent="0.2">
      <c r="A426" s="55">
        <v>44470</v>
      </c>
      <c r="B426" s="45">
        <v>0</v>
      </c>
      <c r="C426" s="45">
        <v>0</v>
      </c>
      <c r="D426" s="45">
        <v>339651.40103999997</v>
      </c>
      <c r="E426" s="45">
        <v>399749.9338251265</v>
      </c>
      <c r="F426" s="45">
        <v>101770.79747999999</v>
      </c>
      <c r="G426" s="45">
        <v>92534.252414378861</v>
      </c>
      <c r="H426" s="46">
        <v>0.17694180739754661</v>
      </c>
      <c r="I426" s="46">
        <v>-9.0758304880496743E-2</v>
      </c>
      <c r="J426" s="46">
        <v>0.11522299487890608</v>
      </c>
    </row>
    <row r="427" spans="1:10" ht="11.25" customHeight="1" x14ac:dyDescent="0.2">
      <c r="A427" s="55">
        <v>44501</v>
      </c>
      <c r="B427" s="45">
        <v>0</v>
      </c>
      <c r="C427" s="45">
        <v>0</v>
      </c>
      <c r="D427" s="45">
        <v>359670.48264000006</v>
      </c>
      <c r="E427" s="45">
        <v>423311.2279058696</v>
      </c>
      <c r="F427" s="45">
        <v>107769.17668</v>
      </c>
      <c r="G427" s="45">
        <v>97988.228886156445</v>
      </c>
      <c r="H427" s="46">
        <v>0.17694180739754661</v>
      </c>
      <c r="I427" s="46">
        <v>-9.0758304880496743E-2</v>
      </c>
      <c r="J427" s="46">
        <v>0.11522299487890608</v>
      </c>
    </row>
    <row r="428" spans="1:10" ht="11.25" customHeight="1" x14ac:dyDescent="0.2">
      <c r="A428" s="55">
        <v>44531</v>
      </c>
      <c r="B428" s="45">
        <v>0</v>
      </c>
      <c r="C428" s="45">
        <v>0</v>
      </c>
      <c r="D428" s="45">
        <v>405331.74108000001</v>
      </c>
      <c r="E428" s="45">
        <v>477051.87194228958</v>
      </c>
      <c r="F428" s="45">
        <v>121450.80045999998</v>
      </c>
      <c r="G428" s="45">
        <v>110428.13168387096</v>
      </c>
      <c r="H428" s="46">
        <v>0.17694180739754661</v>
      </c>
      <c r="I428" s="46">
        <v>-9.0758304880496521E-2</v>
      </c>
      <c r="J428" s="46">
        <v>0.11522299487890608</v>
      </c>
    </row>
    <row r="429" spans="1:10" ht="11.25" customHeight="1" x14ac:dyDescent="0.2">
      <c r="A429" s="55">
        <v>44562</v>
      </c>
      <c r="B429" s="45">
        <v>0</v>
      </c>
      <c r="C429" s="45">
        <v>0</v>
      </c>
      <c r="D429" s="45">
        <v>436800.11256000004</v>
      </c>
      <c r="E429" s="45">
        <v>514088.3139478183</v>
      </c>
      <c r="F429" s="45">
        <v>130879.76572</v>
      </c>
      <c r="G429" s="45">
        <v>119001.34004009627</v>
      </c>
      <c r="H429" s="46">
        <v>0.17694180739754684</v>
      </c>
      <c r="I429" s="46">
        <v>-9.0758304880496632E-2</v>
      </c>
      <c r="J429" s="46">
        <v>0.11522299487890608</v>
      </c>
    </row>
    <row r="430" spans="1:10" ht="11.25" customHeight="1" x14ac:dyDescent="0.2">
      <c r="A430" s="55">
        <v>44593</v>
      </c>
      <c r="B430" s="45">
        <v>0</v>
      </c>
      <c r="C430" s="45">
        <v>0</v>
      </c>
      <c r="D430" s="45">
        <v>458837.65116000001</v>
      </c>
      <c r="E430" s="45">
        <v>540025.21445829538</v>
      </c>
      <c r="F430" s="45">
        <v>137482.94141999999</v>
      </c>
      <c r="G430" s="45">
        <v>125005.22270673618</v>
      </c>
      <c r="H430" s="46">
        <v>0.17694180739754661</v>
      </c>
      <c r="I430" s="46">
        <v>-9.0758304880496521E-2</v>
      </c>
      <c r="J430" s="46">
        <v>0.11522299487890608</v>
      </c>
    </row>
    <row r="431" spans="1:10" ht="11.25" customHeight="1" x14ac:dyDescent="0.2">
      <c r="A431" s="55">
        <v>44621</v>
      </c>
      <c r="B431" s="45">
        <v>0</v>
      </c>
      <c r="C431" s="45">
        <v>0</v>
      </c>
      <c r="D431" s="45">
        <v>419404.77432000003</v>
      </c>
      <c r="E431" s="45">
        <v>493615.01311934099</v>
      </c>
      <c r="F431" s="45">
        <v>125667.54684</v>
      </c>
      <c r="G431" s="45">
        <v>114262.17331031118</v>
      </c>
      <c r="H431" s="46">
        <v>0.17694180739754661</v>
      </c>
      <c r="I431" s="46">
        <v>-9.0758304880496743E-2</v>
      </c>
      <c r="J431" s="46">
        <v>0.11522299487890608</v>
      </c>
    </row>
    <row r="432" spans="1:10" ht="11.25" customHeight="1" x14ac:dyDescent="0.2">
      <c r="A432" s="55">
        <v>44652</v>
      </c>
      <c r="B432" s="45">
        <v>0</v>
      </c>
      <c r="C432" s="45">
        <v>0</v>
      </c>
      <c r="D432" s="45">
        <v>360282.28823999997</v>
      </c>
      <c r="E432" s="45">
        <v>424031.28749450948</v>
      </c>
      <c r="F432" s="45">
        <v>107952.49387999999</v>
      </c>
      <c r="G432" s="45">
        <v>98154.908527829</v>
      </c>
      <c r="H432" s="46">
        <v>0.17694180739754684</v>
      </c>
      <c r="I432" s="46">
        <v>-9.0758304880496743E-2</v>
      </c>
      <c r="J432" s="46">
        <v>0.11522299487890608</v>
      </c>
    </row>
    <row r="433" spans="1:10" ht="11.25" customHeight="1" x14ac:dyDescent="0.2">
      <c r="A433" s="55">
        <v>44682</v>
      </c>
      <c r="B433" s="45">
        <v>0</v>
      </c>
      <c r="C433" s="45">
        <v>0</v>
      </c>
      <c r="D433" s="45">
        <v>325626.00840000005</v>
      </c>
      <c r="E433" s="45">
        <v>383242.86286194477</v>
      </c>
      <c r="F433" s="45">
        <v>97568.325799999991</v>
      </c>
      <c r="G433" s="45">
        <v>88713.189940363984</v>
      </c>
      <c r="H433" s="46">
        <v>0.17694180739754661</v>
      </c>
      <c r="I433" s="46">
        <v>-9.075830488049641E-2</v>
      </c>
      <c r="J433" s="46">
        <v>0.11522299487890608</v>
      </c>
    </row>
    <row r="434" spans="1:10" ht="11.25" customHeight="1" x14ac:dyDescent="0.2">
      <c r="A434" s="55">
        <v>44713</v>
      </c>
      <c r="B434" s="45">
        <v>0</v>
      </c>
      <c r="C434" s="45">
        <v>0</v>
      </c>
      <c r="D434" s="45">
        <v>330034.01760000008</v>
      </c>
      <c r="E434" s="45">
        <v>388430.8331768178</v>
      </c>
      <c r="F434" s="45">
        <v>98889.111199999999</v>
      </c>
      <c r="G434" s="45">
        <v>89914.103096349078</v>
      </c>
      <c r="H434" s="46">
        <v>0.17694180739754661</v>
      </c>
      <c r="I434" s="46">
        <v>-9.0758304880496521E-2</v>
      </c>
      <c r="J434" s="46">
        <v>0.1152229948789063</v>
      </c>
    </row>
    <row r="435" spans="1:10" ht="11.25" customHeight="1" x14ac:dyDescent="0.2">
      <c r="A435" s="55">
        <v>44743</v>
      </c>
      <c r="B435" s="45">
        <v>0</v>
      </c>
      <c r="C435" s="45">
        <v>0</v>
      </c>
      <c r="D435" s="45">
        <v>338414.24988000002</v>
      </c>
      <c r="E435" s="45">
        <v>398293.87890285219</v>
      </c>
      <c r="F435" s="45">
        <v>101400.10605999998</v>
      </c>
      <c r="G435" s="45">
        <v>92197.204319291806</v>
      </c>
      <c r="H435" s="46">
        <v>0.17694180739754661</v>
      </c>
      <c r="I435" s="46">
        <v>-9.0758304880496632E-2</v>
      </c>
      <c r="J435" s="46">
        <v>0.11522299487890608</v>
      </c>
    </row>
    <row r="436" spans="1:10" ht="11.25" customHeight="1" x14ac:dyDescent="0.2">
      <c r="A436" s="55">
        <v>44774</v>
      </c>
      <c r="B436" s="45">
        <v>0</v>
      </c>
      <c r="C436" s="45">
        <v>0</v>
      </c>
      <c r="D436" s="45">
        <v>338414.24988000002</v>
      </c>
      <c r="E436" s="45">
        <v>398293.87890285219</v>
      </c>
      <c r="F436" s="45">
        <v>101400.10605999998</v>
      </c>
      <c r="G436" s="45">
        <v>92197.204319291806</v>
      </c>
      <c r="H436" s="46">
        <v>0.17694180739754661</v>
      </c>
      <c r="I436" s="46">
        <v>-9.0758304880496632E-2</v>
      </c>
      <c r="J436" s="46">
        <v>0.11522299487890608</v>
      </c>
    </row>
    <row r="437" spans="1:10" ht="11.25" customHeight="1" x14ac:dyDescent="0.2">
      <c r="A437" s="50" t="s">
        <v>51</v>
      </c>
      <c r="B437" s="45">
        <v>0</v>
      </c>
      <c r="C437" s="45">
        <v>0</v>
      </c>
      <c r="D437" s="45">
        <v>41054.663159999996</v>
      </c>
      <c r="E437" s="45">
        <v>48318.949461627883</v>
      </c>
      <c r="F437" s="45">
        <v>12301.335419999999</v>
      </c>
      <c r="G437" s="45">
        <v>11184.887069514389</v>
      </c>
      <c r="H437" s="46">
        <v>0.17694180739754706</v>
      </c>
      <c r="I437" s="46">
        <v>-9.0758304880496521E-2</v>
      </c>
      <c r="J437" s="46">
        <v>0.1152229948789063</v>
      </c>
    </row>
    <row r="438" spans="1:10" ht="11.25" customHeight="1" x14ac:dyDescent="0.2">
      <c r="A438" s="51" t="s">
        <v>25</v>
      </c>
      <c r="B438" s="45">
        <v>0</v>
      </c>
      <c r="C438" s="45">
        <v>0</v>
      </c>
      <c r="D438" s="45">
        <v>41054.663159999996</v>
      </c>
      <c r="E438" s="45">
        <v>48318.949461627883</v>
      </c>
      <c r="F438" s="45">
        <v>12301.335419999999</v>
      </c>
      <c r="G438" s="45">
        <v>11184.887069514389</v>
      </c>
      <c r="H438" s="46">
        <v>0.17694180739754706</v>
      </c>
      <c r="I438" s="46">
        <v>-9.0758304880496521E-2</v>
      </c>
      <c r="J438" s="46">
        <v>0.1152229948789063</v>
      </c>
    </row>
    <row r="439" spans="1:10" ht="11.25" customHeight="1" x14ac:dyDescent="0.2">
      <c r="A439" s="52" t="s">
        <v>25</v>
      </c>
      <c r="B439" s="45">
        <v>0</v>
      </c>
      <c r="C439" s="45">
        <v>0</v>
      </c>
      <c r="D439" s="45">
        <v>41054.663159999996</v>
      </c>
      <c r="E439" s="45">
        <v>48318.949461627883</v>
      </c>
      <c r="F439" s="45">
        <v>12301.335419999999</v>
      </c>
      <c r="G439" s="45">
        <v>11184.887069514389</v>
      </c>
      <c r="H439" s="46">
        <v>0.17694180739754706</v>
      </c>
      <c r="I439" s="46">
        <v>-9.0758304880496521E-2</v>
      </c>
      <c r="J439" s="46">
        <v>0.1152229948789063</v>
      </c>
    </row>
    <row r="440" spans="1:10" ht="11.25" customHeight="1" x14ac:dyDescent="0.2">
      <c r="A440" s="53" t="s">
        <v>25</v>
      </c>
      <c r="B440" s="45">
        <v>0</v>
      </c>
      <c r="C440" s="45">
        <v>0</v>
      </c>
      <c r="D440" s="45">
        <v>41054.663159999996</v>
      </c>
      <c r="E440" s="45">
        <v>48318.949461627883</v>
      </c>
      <c r="F440" s="45">
        <v>12301.335419999999</v>
      </c>
      <c r="G440" s="45">
        <v>11184.887069514389</v>
      </c>
      <c r="H440" s="46">
        <v>0.17694180739754706</v>
      </c>
      <c r="I440" s="46">
        <v>-9.0758304880496521E-2</v>
      </c>
      <c r="J440" s="46">
        <v>0.1152229948789063</v>
      </c>
    </row>
    <row r="441" spans="1:10" ht="11.25" customHeight="1" x14ac:dyDescent="0.2">
      <c r="A441" s="54" t="s">
        <v>25</v>
      </c>
      <c r="B441" s="45">
        <v>0</v>
      </c>
      <c r="C441" s="45">
        <v>0</v>
      </c>
      <c r="D441" s="45">
        <v>41054.663159999996</v>
      </c>
      <c r="E441" s="45">
        <v>48318.949461627883</v>
      </c>
      <c r="F441" s="45">
        <v>12301.335419999999</v>
      </c>
      <c r="G441" s="45">
        <v>11184.887069514389</v>
      </c>
      <c r="H441" s="46">
        <v>0.17694180739754706</v>
      </c>
      <c r="I441" s="46">
        <v>-9.0758304880496521E-2</v>
      </c>
      <c r="J441" s="46">
        <v>0.1152229948789063</v>
      </c>
    </row>
    <row r="442" spans="1:10" ht="11.25" customHeight="1" x14ac:dyDescent="0.2">
      <c r="A442" s="55">
        <v>44440</v>
      </c>
      <c r="B442" s="45">
        <v>0</v>
      </c>
      <c r="C442" s="45">
        <v>0</v>
      </c>
      <c r="D442" s="45">
        <v>2890.5307200000002</v>
      </c>
      <c r="E442" s="45">
        <v>3401.9864499349324</v>
      </c>
      <c r="F442" s="45">
        <v>866.09863999999993</v>
      </c>
      <c r="G442" s="45">
        <v>787.49299557429651</v>
      </c>
      <c r="H442" s="46">
        <v>0.17694180739754684</v>
      </c>
      <c r="I442" s="46">
        <v>-9.0758304880496521E-2</v>
      </c>
      <c r="J442" s="46">
        <v>0.1152229948789063</v>
      </c>
    </row>
    <row r="443" spans="1:10" ht="11.25" customHeight="1" x14ac:dyDescent="0.2">
      <c r="A443" s="55">
        <v>44470</v>
      </c>
      <c r="B443" s="45">
        <v>0</v>
      </c>
      <c r="C443" s="45">
        <v>0</v>
      </c>
      <c r="D443" s="45">
        <v>2808.288</v>
      </c>
      <c r="E443" s="45">
        <v>3305.1915544128415</v>
      </c>
      <c r="F443" s="45">
        <v>841.4559999999999</v>
      </c>
      <c r="G443" s="45">
        <v>765.08687980847674</v>
      </c>
      <c r="H443" s="46">
        <v>0.17694180739754661</v>
      </c>
      <c r="I443" s="46">
        <v>-9.0758304880496632E-2</v>
      </c>
      <c r="J443" s="46">
        <v>0.11522299487890608</v>
      </c>
    </row>
    <row r="444" spans="1:10" ht="11.25" customHeight="1" x14ac:dyDescent="0.2">
      <c r="A444" s="55">
        <v>44501</v>
      </c>
      <c r="B444" s="45">
        <v>0</v>
      </c>
      <c r="C444" s="45">
        <v>0</v>
      </c>
      <c r="D444" s="45">
        <v>3304.2517200000002</v>
      </c>
      <c r="E444" s="45">
        <v>3888.9119914332528</v>
      </c>
      <c r="F444" s="45">
        <v>990.06313999999998</v>
      </c>
      <c r="G444" s="45">
        <v>900.20668768893813</v>
      </c>
      <c r="H444" s="46">
        <v>0.17694180739754684</v>
      </c>
      <c r="I444" s="46">
        <v>-9.0758304880496632E-2</v>
      </c>
      <c r="J444" s="46">
        <v>0.11522299487890608</v>
      </c>
    </row>
    <row r="445" spans="1:10" ht="11.25" customHeight="1" x14ac:dyDescent="0.2">
      <c r="A445" s="55">
        <v>44531</v>
      </c>
      <c r="B445" s="45">
        <v>0</v>
      </c>
      <c r="C445" s="45">
        <v>0</v>
      </c>
      <c r="D445" s="45">
        <v>4351.8434400000006</v>
      </c>
      <c r="E445" s="45">
        <v>5121.8664837847573</v>
      </c>
      <c r="F445" s="45">
        <v>1303.9562800000001</v>
      </c>
      <c r="G445" s="45">
        <v>1185.6114183889217</v>
      </c>
      <c r="H445" s="46">
        <v>0.17694180739754661</v>
      </c>
      <c r="I445" s="46">
        <v>-9.0758304880496743E-2</v>
      </c>
      <c r="J445" s="46">
        <v>0.11522299487890608</v>
      </c>
    </row>
    <row r="446" spans="1:10" ht="11.25" customHeight="1" x14ac:dyDescent="0.2">
      <c r="A446" s="55">
        <v>44562</v>
      </c>
      <c r="B446" s="45">
        <v>0</v>
      </c>
      <c r="C446" s="45">
        <v>0</v>
      </c>
      <c r="D446" s="45">
        <v>5131.6448400000008</v>
      </c>
      <c r="E446" s="45">
        <v>6039.6473529118948</v>
      </c>
      <c r="F446" s="45">
        <v>1537.61058</v>
      </c>
      <c r="G446" s="45">
        <v>1398.0596501928828</v>
      </c>
      <c r="H446" s="46">
        <v>0.17694180739754661</v>
      </c>
      <c r="I446" s="46">
        <v>-9.0758304880496632E-2</v>
      </c>
      <c r="J446" s="46">
        <v>0.11522299487890608</v>
      </c>
    </row>
    <row r="447" spans="1:10" ht="11.25" customHeight="1" x14ac:dyDescent="0.2">
      <c r="A447" s="55">
        <v>44593</v>
      </c>
      <c r="B447" s="45">
        <v>0</v>
      </c>
      <c r="C447" s="45">
        <v>0</v>
      </c>
      <c r="D447" s="45">
        <v>4528.8658800000003</v>
      </c>
      <c r="E447" s="45">
        <v>5330.2115942682813</v>
      </c>
      <c r="F447" s="45">
        <v>1356.9980599999999</v>
      </c>
      <c r="G447" s="45">
        <v>1233.8392163482777</v>
      </c>
      <c r="H447" s="46">
        <v>0.17694180739754661</v>
      </c>
      <c r="I447" s="46">
        <v>-9.0758304880496521E-2</v>
      </c>
      <c r="J447" s="46">
        <v>0.1152229948789063</v>
      </c>
    </row>
    <row r="448" spans="1:10" ht="11.25" customHeight="1" x14ac:dyDescent="0.2">
      <c r="A448" s="55">
        <v>44621</v>
      </c>
      <c r="B448" s="45">
        <v>0</v>
      </c>
      <c r="C448" s="45">
        <v>0</v>
      </c>
      <c r="D448" s="45">
        <v>4023.8755199999996</v>
      </c>
      <c r="E448" s="45">
        <v>4735.8673272515425</v>
      </c>
      <c r="F448" s="45">
        <v>1205.6862399999998</v>
      </c>
      <c r="G448" s="45">
        <v>1096.2602006398602</v>
      </c>
      <c r="H448" s="46">
        <v>0.17694180739754661</v>
      </c>
      <c r="I448" s="46">
        <v>-9.0758304880496632E-2</v>
      </c>
      <c r="J448" s="46">
        <v>0.11522299487890608</v>
      </c>
    </row>
    <row r="449" spans="1:10" ht="11.25" customHeight="1" x14ac:dyDescent="0.2">
      <c r="A449" s="55">
        <v>44652</v>
      </c>
      <c r="B449" s="45">
        <v>0</v>
      </c>
      <c r="C449" s="45">
        <v>0</v>
      </c>
      <c r="D449" s="45">
        <v>3370.4470800000004</v>
      </c>
      <c r="E449" s="45">
        <v>3966.820078072984</v>
      </c>
      <c r="F449" s="45">
        <v>1009.8974599999999</v>
      </c>
      <c r="G449" s="45">
        <v>918.24087842728079</v>
      </c>
      <c r="H449" s="46">
        <v>0.17694180739754661</v>
      </c>
      <c r="I449" s="46">
        <v>-9.0758304880496632E-2</v>
      </c>
      <c r="J449" s="46">
        <v>0.1152229948789063</v>
      </c>
    </row>
    <row r="450" spans="1:10" ht="11.25" customHeight="1" x14ac:dyDescent="0.2">
      <c r="A450" s="55">
        <v>44682</v>
      </c>
      <c r="B450" s="45">
        <v>0</v>
      </c>
      <c r="C450" s="45">
        <v>0</v>
      </c>
      <c r="D450" s="45">
        <v>2490.3496800000003</v>
      </c>
      <c r="E450" s="45">
        <v>2930.996653431102</v>
      </c>
      <c r="F450" s="45">
        <v>746.19115999999997</v>
      </c>
      <c r="G450" s="45">
        <v>678.46811520158849</v>
      </c>
      <c r="H450" s="46">
        <v>0.17694180739754661</v>
      </c>
      <c r="I450" s="46">
        <v>-9.0758304880496632E-2</v>
      </c>
      <c r="J450" s="46">
        <v>0.11522299487890608</v>
      </c>
    </row>
    <row r="451" spans="1:10" ht="11.25" customHeight="1" x14ac:dyDescent="0.2">
      <c r="A451" s="55">
        <v>44713</v>
      </c>
      <c r="B451" s="45">
        <v>0</v>
      </c>
      <c r="C451" s="45">
        <v>0</v>
      </c>
      <c r="D451" s="45">
        <v>2744.6000399999998</v>
      </c>
      <c r="E451" s="45">
        <v>3230.234531660979</v>
      </c>
      <c r="F451" s="45">
        <v>822.37297999999998</v>
      </c>
      <c r="G451" s="45">
        <v>747.73580235567738</v>
      </c>
      <c r="H451" s="46">
        <v>0.17694180739754684</v>
      </c>
      <c r="I451" s="46">
        <v>-9.0758304880496743E-2</v>
      </c>
      <c r="J451" s="46">
        <v>0.11522299487890608</v>
      </c>
    </row>
    <row r="452" spans="1:10" ht="11.25" customHeight="1" x14ac:dyDescent="0.2">
      <c r="A452" s="55">
        <v>44743</v>
      </c>
      <c r="B452" s="45">
        <v>0</v>
      </c>
      <c r="C452" s="45">
        <v>0</v>
      </c>
      <c r="D452" s="45">
        <v>2704.9831200000003</v>
      </c>
      <c r="E452" s="45">
        <v>3183.6077222326549</v>
      </c>
      <c r="F452" s="45">
        <v>810.50243999999998</v>
      </c>
      <c r="G452" s="45">
        <v>736.94261244409358</v>
      </c>
      <c r="H452" s="46">
        <v>0.17694180739754661</v>
      </c>
      <c r="I452" s="46">
        <v>-9.0758304880496632E-2</v>
      </c>
      <c r="J452" s="46">
        <v>0.11522299487890608</v>
      </c>
    </row>
    <row r="453" spans="1:10" ht="11.25" customHeight="1" x14ac:dyDescent="0.2">
      <c r="A453" s="55">
        <v>44774</v>
      </c>
      <c r="B453" s="45">
        <v>0</v>
      </c>
      <c r="C453" s="45">
        <v>0</v>
      </c>
      <c r="D453" s="45">
        <v>2704.9831200000003</v>
      </c>
      <c r="E453" s="45">
        <v>3183.6077222326549</v>
      </c>
      <c r="F453" s="45">
        <v>810.50243999999998</v>
      </c>
      <c r="G453" s="45">
        <v>736.94261244409358</v>
      </c>
      <c r="H453" s="46">
        <v>0.17694180739754661</v>
      </c>
      <c r="I453" s="46">
        <v>-9.0758304880496632E-2</v>
      </c>
      <c r="J453" s="46">
        <v>0.11522299487890608</v>
      </c>
    </row>
    <row r="454" spans="1:10" ht="11.25" customHeight="1" x14ac:dyDescent="0.2">
      <c r="A454" s="50" t="s">
        <v>34</v>
      </c>
      <c r="B454" s="45">
        <v>0</v>
      </c>
      <c r="C454" s="45">
        <v>0</v>
      </c>
      <c r="D454" s="45">
        <v>2221990.1802000003</v>
      </c>
      <c r="E454" s="45">
        <v>2615153.1387041886</v>
      </c>
      <c r="F454" s="45">
        <v>665781.77489999984</v>
      </c>
      <c r="G454" s="45">
        <v>605356.54958974756</v>
      </c>
      <c r="H454" s="46">
        <v>0.17694180739754617</v>
      </c>
      <c r="I454" s="46">
        <v>-9.0758304880496521E-2</v>
      </c>
      <c r="J454" s="46">
        <v>0.11522299487890586</v>
      </c>
    </row>
    <row r="455" spans="1:10" ht="11.25" customHeight="1" x14ac:dyDescent="0.2">
      <c r="A455" s="51" t="s">
        <v>25</v>
      </c>
      <c r="B455" s="45">
        <v>0</v>
      </c>
      <c r="C455" s="45">
        <v>0</v>
      </c>
      <c r="D455" s="45">
        <v>2221990.1802000003</v>
      </c>
      <c r="E455" s="45">
        <v>2615153.1387041886</v>
      </c>
      <c r="F455" s="45">
        <v>665781.77489999984</v>
      </c>
      <c r="G455" s="45">
        <v>605356.54958974756</v>
      </c>
      <c r="H455" s="46">
        <v>0.17694180739754617</v>
      </c>
      <c r="I455" s="46">
        <v>-9.0758304880496521E-2</v>
      </c>
      <c r="J455" s="46">
        <v>0.11522299487890586</v>
      </c>
    </row>
    <row r="456" spans="1:10" ht="11.25" customHeight="1" x14ac:dyDescent="0.2">
      <c r="A456" s="52" t="s">
        <v>25</v>
      </c>
      <c r="B456" s="45">
        <v>0</v>
      </c>
      <c r="C456" s="45">
        <v>0</v>
      </c>
      <c r="D456" s="45">
        <v>2221990.1802000003</v>
      </c>
      <c r="E456" s="45">
        <v>2615153.1387041886</v>
      </c>
      <c r="F456" s="45">
        <v>665781.77489999984</v>
      </c>
      <c r="G456" s="45">
        <v>605356.54958974756</v>
      </c>
      <c r="H456" s="46">
        <v>0.17694180739754617</v>
      </c>
      <c r="I456" s="46">
        <v>-9.0758304880496521E-2</v>
      </c>
      <c r="J456" s="46">
        <v>0.11522299487890586</v>
      </c>
    </row>
    <row r="457" spans="1:10" ht="11.25" customHeight="1" x14ac:dyDescent="0.2">
      <c r="A457" s="53" t="s">
        <v>25</v>
      </c>
      <c r="B457" s="45">
        <v>0</v>
      </c>
      <c r="C457" s="45">
        <v>0</v>
      </c>
      <c r="D457" s="45">
        <v>2221990.1802000003</v>
      </c>
      <c r="E457" s="45">
        <v>2615153.1387041886</v>
      </c>
      <c r="F457" s="45">
        <v>665781.77489999984</v>
      </c>
      <c r="G457" s="45">
        <v>605356.54958974756</v>
      </c>
      <c r="H457" s="46">
        <v>0.17694180739754617</v>
      </c>
      <c r="I457" s="46">
        <v>-9.0758304880496521E-2</v>
      </c>
      <c r="J457" s="46">
        <v>0.11522299487890586</v>
      </c>
    </row>
    <row r="458" spans="1:10" ht="11.25" customHeight="1" x14ac:dyDescent="0.2">
      <c r="A458" s="54" t="s">
        <v>25</v>
      </c>
      <c r="B458" s="45">
        <v>0</v>
      </c>
      <c r="C458" s="45">
        <v>0</v>
      </c>
      <c r="D458" s="45">
        <v>2221990.1802000003</v>
      </c>
      <c r="E458" s="45">
        <v>2615153.1387041886</v>
      </c>
      <c r="F458" s="45">
        <v>665781.77489999984</v>
      </c>
      <c r="G458" s="45">
        <v>605356.54958974756</v>
      </c>
      <c r="H458" s="46">
        <v>0.17694180739754617</v>
      </c>
      <c r="I458" s="46">
        <v>-9.0758304880496521E-2</v>
      </c>
      <c r="J458" s="46">
        <v>0.11522299487890586</v>
      </c>
    </row>
    <row r="459" spans="1:10" ht="11.25" customHeight="1" x14ac:dyDescent="0.2">
      <c r="A459" s="55">
        <v>44440</v>
      </c>
      <c r="B459" s="45">
        <v>0</v>
      </c>
      <c r="C459" s="45">
        <v>0</v>
      </c>
      <c r="D459" s="45">
        <v>183441.88548</v>
      </c>
      <c r="E459" s="45">
        <v>215900.42424924497</v>
      </c>
      <c r="F459" s="45">
        <v>54965.258259999995</v>
      </c>
      <c r="G459" s="45">
        <v>49976.704593003684</v>
      </c>
      <c r="H459" s="46">
        <v>0.17694180739754661</v>
      </c>
      <c r="I459" s="46">
        <v>-9.0758304880496521E-2</v>
      </c>
      <c r="J459" s="46">
        <v>0.11522299487890608</v>
      </c>
    </row>
    <row r="460" spans="1:10" ht="11.25" customHeight="1" x14ac:dyDescent="0.2">
      <c r="A460" s="55">
        <v>44470</v>
      </c>
      <c r="B460" s="45">
        <v>0</v>
      </c>
      <c r="C460" s="45">
        <v>0</v>
      </c>
      <c r="D460" s="45">
        <v>175934.22840000002</v>
      </c>
      <c r="E460" s="45">
        <v>207064.34875618879</v>
      </c>
      <c r="F460" s="45">
        <v>52715.715799999991</v>
      </c>
      <c r="G460" s="45">
        <v>47931.326793429987</v>
      </c>
      <c r="H460" s="46">
        <v>0.17694180739754661</v>
      </c>
      <c r="I460" s="46">
        <v>-9.075830488049641E-2</v>
      </c>
      <c r="J460" s="46">
        <v>0.11522299487890608</v>
      </c>
    </row>
    <row r="461" spans="1:10" ht="11.25" customHeight="1" x14ac:dyDescent="0.2">
      <c r="A461" s="55">
        <v>44501</v>
      </c>
      <c r="B461" s="45">
        <v>0</v>
      </c>
      <c r="C461" s="45">
        <v>0</v>
      </c>
      <c r="D461" s="45">
        <v>171871.73892</v>
      </c>
      <c r="E461" s="45">
        <v>202283.03504506405</v>
      </c>
      <c r="F461" s="45">
        <v>51498.459539999996</v>
      </c>
      <c r="G461" s="45">
        <v>46824.546648192758</v>
      </c>
      <c r="H461" s="46">
        <v>0.17694180739754661</v>
      </c>
      <c r="I461" s="46">
        <v>-9.0758304880496632E-2</v>
      </c>
      <c r="J461" s="46">
        <v>0.11522299487890608</v>
      </c>
    </row>
    <row r="462" spans="1:10" ht="11.25" customHeight="1" x14ac:dyDescent="0.2">
      <c r="A462" s="55">
        <v>44531</v>
      </c>
      <c r="B462" s="45">
        <v>0</v>
      </c>
      <c r="C462" s="45">
        <v>0</v>
      </c>
      <c r="D462" s="45">
        <v>181553.81328</v>
      </c>
      <c r="E462" s="45">
        <v>213678.27314167991</v>
      </c>
      <c r="F462" s="45">
        <v>54399.52936</v>
      </c>
      <c r="G462" s="45">
        <v>49462.320288989591</v>
      </c>
      <c r="H462" s="46">
        <v>0.17694180739754661</v>
      </c>
      <c r="I462" s="46">
        <v>-9.0758304880496632E-2</v>
      </c>
      <c r="J462" s="46">
        <v>0.1152229948789063</v>
      </c>
    </row>
    <row r="463" spans="1:10" ht="11.25" customHeight="1" x14ac:dyDescent="0.2">
      <c r="A463" s="55">
        <v>44562</v>
      </c>
      <c r="B463" s="45">
        <v>0</v>
      </c>
      <c r="C463" s="45">
        <v>0</v>
      </c>
      <c r="D463" s="45">
        <v>188236.03427999996</v>
      </c>
      <c r="E463" s="45">
        <v>221542.85840284976</v>
      </c>
      <c r="F463" s="45">
        <v>56401.743859999995</v>
      </c>
      <c r="G463" s="45">
        <v>51282.817194962437</v>
      </c>
      <c r="H463" s="46">
        <v>0.17694180739754684</v>
      </c>
      <c r="I463" s="46">
        <v>-9.0758304880496632E-2</v>
      </c>
      <c r="J463" s="46">
        <v>0.1152229948789063</v>
      </c>
    </row>
    <row r="464" spans="1:10" ht="11.25" customHeight="1" x14ac:dyDescent="0.2">
      <c r="A464" s="55">
        <v>44593</v>
      </c>
      <c r="B464" s="45">
        <v>0</v>
      </c>
      <c r="C464" s="45">
        <v>0</v>
      </c>
      <c r="D464" s="45">
        <v>217638.30815999999</v>
      </c>
      <c r="E464" s="45">
        <v>256147.62376477462</v>
      </c>
      <c r="F464" s="45">
        <v>65211.637919999986</v>
      </c>
      <c r="G464" s="45">
        <v>59293.140203900082</v>
      </c>
      <c r="H464" s="46">
        <v>0.17694180739754661</v>
      </c>
      <c r="I464" s="46">
        <v>-9.0758304880496521E-2</v>
      </c>
      <c r="J464" s="46">
        <v>0.1152229948789063</v>
      </c>
    </row>
    <row r="465" spans="1:10" ht="11.25" customHeight="1" x14ac:dyDescent="0.2">
      <c r="A465" s="55">
        <v>44621</v>
      </c>
      <c r="B465" s="45">
        <v>0</v>
      </c>
      <c r="C465" s="45">
        <v>0</v>
      </c>
      <c r="D465" s="45">
        <v>190294.60967999999</v>
      </c>
      <c r="E465" s="45">
        <v>223965.6818547899</v>
      </c>
      <c r="F465" s="45">
        <v>57018.561159999997</v>
      </c>
      <c r="G465" s="45">
        <v>51843.653202393478</v>
      </c>
      <c r="H465" s="46">
        <v>0.17694180739754684</v>
      </c>
      <c r="I465" s="46">
        <v>-9.0758304880496521E-2</v>
      </c>
      <c r="J465" s="46">
        <v>0.1152229948789063</v>
      </c>
    </row>
    <row r="466" spans="1:10" ht="11.25" customHeight="1" x14ac:dyDescent="0.2">
      <c r="A466" s="55">
        <v>44652</v>
      </c>
      <c r="B466" s="45">
        <v>0</v>
      </c>
      <c r="C466" s="45">
        <v>0</v>
      </c>
      <c r="D466" s="45">
        <v>189195.867</v>
      </c>
      <c r="E466" s="45">
        <v>222672.52565912585</v>
      </c>
      <c r="F466" s="45">
        <v>56689.341499999995</v>
      </c>
      <c r="G466" s="45">
        <v>51544.312960668409</v>
      </c>
      <c r="H466" s="46">
        <v>0.17694180739754661</v>
      </c>
      <c r="I466" s="46">
        <v>-9.0758304880496521E-2</v>
      </c>
      <c r="J466" s="46">
        <v>0.11522299487890586</v>
      </c>
    </row>
    <row r="467" spans="1:10" ht="11.25" customHeight="1" x14ac:dyDescent="0.2">
      <c r="A467" s="55">
        <v>44682</v>
      </c>
      <c r="B467" s="45">
        <v>0</v>
      </c>
      <c r="C467" s="45">
        <v>0</v>
      </c>
      <c r="D467" s="45">
        <v>175709.06388000003</v>
      </c>
      <c r="E467" s="45">
        <v>206799.34321905818</v>
      </c>
      <c r="F467" s="45">
        <v>52648.249060000002</v>
      </c>
      <c r="G467" s="45">
        <v>47869.983220388196</v>
      </c>
      <c r="H467" s="46">
        <v>0.17694180739754639</v>
      </c>
      <c r="I467" s="46">
        <v>-9.0758304880496743E-2</v>
      </c>
      <c r="J467" s="46">
        <v>0.11522299487890586</v>
      </c>
    </row>
    <row r="468" spans="1:10" ht="11.25" customHeight="1" x14ac:dyDescent="0.2">
      <c r="A468" s="55">
        <v>44713</v>
      </c>
      <c r="B468" s="45">
        <v>0</v>
      </c>
      <c r="C468" s="45">
        <v>0</v>
      </c>
      <c r="D468" s="45">
        <v>178546.93920000002</v>
      </c>
      <c r="E468" s="45">
        <v>210139.35732734788</v>
      </c>
      <c r="F468" s="45">
        <v>53498.570399999997</v>
      </c>
      <c r="G468" s="45">
        <v>48643.130836966084</v>
      </c>
      <c r="H468" s="46">
        <v>0.17694180739754661</v>
      </c>
      <c r="I468" s="46">
        <v>-9.0758304880496632E-2</v>
      </c>
      <c r="J468" s="46">
        <v>0.11522299487890608</v>
      </c>
    </row>
    <row r="469" spans="1:10" ht="11.25" customHeight="1" x14ac:dyDescent="0.2">
      <c r="A469" s="55">
        <v>44743</v>
      </c>
      <c r="B469" s="45">
        <v>0</v>
      </c>
      <c r="C469" s="45">
        <v>0</v>
      </c>
      <c r="D469" s="45">
        <v>184783.84596000001</v>
      </c>
      <c r="E469" s="45">
        <v>217479.83364203226</v>
      </c>
      <c r="F469" s="45">
        <v>55367.354019999999</v>
      </c>
      <c r="G469" s="45">
        <v>50342.30682342645</v>
      </c>
      <c r="H469" s="46">
        <v>0.17694180739754661</v>
      </c>
      <c r="I469" s="46">
        <v>-9.0758304880496632E-2</v>
      </c>
      <c r="J469" s="46">
        <v>0.1152229948789063</v>
      </c>
    </row>
    <row r="470" spans="1:10" ht="11.25" customHeight="1" x14ac:dyDescent="0.2">
      <c r="A470" s="55">
        <v>44774</v>
      </c>
      <c r="B470" s="45">
        <v>0</v>
      </c>
      <c r="C470" s="45">
        <v>0</v>
      </c>
      <c r="D470" s="45">
        <v>184783.84596000001</v>
      </c>
      <c r="E470" s="45">
        <v>217479.83364203226</v>
      </c>
      <c r="F470" s="45">
        <v>55367.354019999999</v>
      </c>
      <c r="G470" s="45">
        <v>50342.30682342645</v>
      </c>
      <c r="H470" s="46">
        <v>0.17694180739754661</v>
      </c>
      <c r="I470" s="46">
        <v>-9.0758304880496632E-2</v>
      </c>
      <c r="J470" s="46">
        <v>0.1152229948789063</v>
      </c>
    </row>
    <row r="471" spans="1:10" ht="11.25" customHeight="1" x14ac:dyDescent="0.2">
      <c r="A471" s="50" t="s">
        <v>45</v>
      </c>
      <c r="B471" s="45">
        <v>0</v>
      </c>
      <c r="C471" s="45">
        <v>0</v>
      </c>
      <c r="D471" s="45">
        <v>476685.32436000003</v>
      </c>
      <c r="E471" s="45">
        <v>561030.88721214421</v>
      </c>
      <c r="F471" s="45">
        <v>142830.69481999998</v>
      </c>
      <c r="G471" s="45">
        <v>129867.62307323325</v>
      </c>
      <c r="H471" s="46">
        <v>0.17694180739754706</v>
      </c>
      <c r="I471" s="46">
        <v>-9.0758304880496854E-2</v>
      </c>
      <c r="J471" s="46">
        <v>0.11522299487890653</v>
      </c>
    </row>
    <row r="472" spans="1:10" ht="11.25" customHeight="1" x14ac:dyDescent="0.2">
      <c r="A472" s="51" t="s">
        <v>25</v>
      </c>
      <c r="B472" s="45">
        <v>0</v>
      </c>
      <c r="C472" s="45">
        <v>0</v>
      </c>
      <c r="D472" s="45">
        <v>476685.32436000003</v>
      </c>
      <c r="E472" s="45">
        <v>561030.88721214421</v>
      </c>
      <c r="F472" s="45">
        <v>142830.69481999998</v>
      </c>
      <c r="G472" s="45">
        <v>129867.62307323325</v>
      </c>
      <c r="H472" s="46">
        <v>0.17694180739754706</v>
      </c>
      <c r="I472" s="46">
        <v>-9.0758304880496854E-2</v>
      </c>
      <c r="J472" s="46">
        <v>0.11522299487890653</v>
      </c>
    </row>
    <row r="473" spans="1:10" ht="11.25" customHeight="1" x14ac:dyDescent="0.2">
      <c r="A473" s="52" t="s">
        <v>25</v>
      </c>
      <c r="B473" s="45">
        <v>0</v>
      </c>
      <c r="C473" s="45">
        <v>0</v>
      </c>
      <c r="D473" s="45">
        <v>476685.32436000003</v>
      </c>
      <c r="E473" s="45">
        <v>561030.88721214421</v>
      </c>
      <c r="F473" s="45">
        <v>142830.69481999998</v>
      </c>
      <c r="G473" s="45">
        <v>129867.62307323325</v>
      </c>
      <c r="H473" s="46">
        <v>0.17694180739754706</v>
      </c>
      <c r="I473" s="46">
        <v>-9.0758304880496854E-2</v>
      </c>
      <c r="J473" s="46">
        <v>0.11522299487890653</v>
      </c>
    </row>
    <row r="474" spans="1:10" ht="11.25" customHeight="1" x14ac:dyDescent="0.2">
      <c r="A474" s="53" t="s">
        <v>25</v>
      </c>
      <c r="B474" s="45">
        <v>0</v>
      </c>
      <c r="C474" s="45">
        <v>0</v>
      </c>
      <c r="D474" s="45">
        <v>476685.32436000003</v>
      </c>
      <c r="E474" s="45">
        <v>561030.88721214421</v>
      </c>
      <c r="F474" s="45">
        <v>142830.69481999998</v>
      </c>
      <c r="G474" s="45">
        <v>129867.62307323325</v>
      </c>
      <c r="H474" s="46">
        <v>0.17694180739754706</v>
      </c>
      <c r="I474" s="46">
        <v>-9.0758304880496854E-2</v>
      </c>
      <c r="J474" s="46">
        <v>0.11522299487890653</v>
      </c>
    </row>
    <row r="475" spans="1:10" ht="11.25" customHeight="1" x14ac:dyDescent="0.2">
      <c r="A475" s="54" t="s">
        <v>25</v>
      </c>
      <c r="B475" s="45">
        <v>0</v>
      </c>
      <c r="C475" s="45">
        <v>0</v>
      </c>
      <c r="D475" s="45">
        <v>476685.32436000003</v>
      </c>
      <c r="E475" s="45">
        <v>561030.88721214421</v>
      </c>
      <c r="F475" s="45">
        <v>142830.69481999998</v>
      </c>
      <c r="G475" s="45">
        <v>129867.62307323325</v>
      </c>
      <c r="H475" s="46">
        <v>0.17694180739754706</v>
      </c>
      <c r="I475" s="46">
        <v>-9.0758304880496854E-2</v>
      </c>
      <c r="J475" s="46">
        <v>0.11522299487890653</v>
      </c>
    </row>
    <row r="476" spans="1:10" ht="11.25" customHeight="1" x14ac:dyDescent="0.2">
      <c r="A476" s="55">
        <v>44440</v>
      </c>
      <c r="B476" s="45">
        <v>0</v>
      </c>
      <c r="C476" s="45">
        <v>0</v>
      </c>
      <c r="D476" s="45">
        <v>34033.441680000004</v>
      </c>
      <c r="E476" s="45">
        <v>40055.380362818192</v>
      </c>
      <c r="F476" s="45">
        <v>10197.545159999998</v>
      </c>
      <c r="G476" s="45">
        <v>9272.033247336085</v>
      </c>
      <c r="H476" s="46">
        <v>0.17694180739754639</v>
      </c>
      <c r="I476" s="46">
        <v>-9.0758304880496632E-2</v>
      </c>
      <c r="J476" s="46">
        <v>0.11522299487890608</v>
      </c>
    </row>
    <row r="477" spans="1:10" ht="11.25" customHeight="1" x14ac:dyDescent="0.2">
      <c r="A477" s="55">
        <v>44470</v>
      </c>
      <c r="B477" s="45">
        <v>0</v>
      </c>
      <c r="C477" s="45">
        <v>0</v>
      </c>
      <c r="D477" s="45">
        <v>34059.017159999996</v>
      </c>
      <c r="E477" s="45">
        <v>40085.481214474457</v>
      </c>
      <c r="F477" s="45">
        <v>10205.208419999999</v>
      </c>
      <c r="G477" s="45">
        <v>9279.0010028486286</v>
      </c>
      <c r="H477" s="46">
        <v>0.17694180739754684</v>
      </c>
      <c r="I477" s="46">
        <v>-9.0758304880496521E-2</v>
      </c>
      <c r="J477" s="46">
        <v>0.11522299487890608</v>
      </c>
    </row>
    <row r="478" spans="1:10" ht="11.25" customHeight="1" x14ac:dyDescent="0.2">
      <c r="A478" s="55">
        <v>44501</v>
      </c>
      <c r="B478" s="45">
        <v>0</v>
      </c>
      <c r="C478" s="45">
        <v>0</v>
      </c>
      <c r="D478" s="45">
        <v>39467.478960000008</v>
      </c>
      <c r="E478" s="45">
        <v>46450.926020607047</v>
      </c>
      <c r="F478" s="45">
        <v>11825.76252</v>
      </c>
      <c r="G478" s="45">
        <v>10752.476359765489</v>
      </c>
      <c r="H478" s="46">
        <v>0.17694180739754639</v>
      </c>
      <c r="I478" s="46">
        <v>-9.0758304880496743E-2</v>
      </c>
      <c r="J478" s="46">
        <v>0.11522299487890586</v>
      </c>
    </row>
    <row r="479" spans="1:10" ht="11.25" customHeight="1" x14ac:dyDescent="0.2">
      <c r="A479" s="55">
        <v>44531</v>
      </c>
      <c r="B479" s="45">
        <v>0</v>
      </c>
      <c r="C479" s="45">
        <v>0</v>
      </c>
      <c r="D479" s="45">
        <v>42132.343680000005</v>
      </c>
      <c r="E479" s="45">
        <v>49587.316720633804</v>
      </c>
      <c r="F479" s="45">
        <v>12624.24416</v>
      </c>
      <c r="G479" s="45">
        <v>11478.489159640891</v>
      </c>
      <c r="H479" s="46">
        <v>0.17694180739754661</v>
      </c>
      <c r="I479" s="46">
        <v>-9.0758304880496632E-2</v>
      </c>
      <c r="J479" s="46">
        <v>0.11522299487890608</v>
      </c>
    </row>
    <row r="480" spans="1:10" ht="11.25" customHeight="1" x14ac:dyDescent="0.2">
      <c r="A480" s="55">
        <v>44562</v>
      </c>
      <c r="B480" s="45">
        <v>0</v>
      </c>
      <c r="C480" s="45">
        <v>0</v>
      </c>
      <c r="D480" s="45">
        <v>36474.646320000007</v>
      </c>
      <c r="E480" s="45">
        <v>42928.53616404708</v>
      </c>
      <c r="F480" s="45">
        <v>10929.010840000001</v>
      </c>
      <c r="G480" s="45">
        <v>9937.1123421410266</v>
      </c>
      <c r="H480" s="46">
        <v>0.17694180739754661</v>
      </c>
      <c r="I480" s="46">
        <v>-9.0758304880496743E-2</v>
      </c>
      <c r="J480" s="46">
        <v>0.11522299487890608</v>
      </c>
    </row>
    <row r="481" spans="1:10" ht="11.25" customHeight="1" x14ac:dyDescent="0.2">
      <c r="A481" s="55">
        <v>44593</v>
      </c>
      <c r="B481" s="45">
        <v>0</v>
      </c>
      <c r="C481" s="45">
        <v>0</v>
      </c>
      <c r="D481" s="45">
        <v>50215.699800000002</v>
      </c>
      <c r="E481" s="45">
        <v>59100.95648234462</v>
      </c>
      <c r="F481" s="45">
        <v>15046.285099999997</v>
      </c>
      <c r="G481" s="45">
        <v>13680.709769575325</v>
      </c>
      <c r="H481" s="46">
        <v>0.17694180739754661</v>
      </c>
      <c r="I481" s="46">
        <v>-9.0758304880496521E-2</v>
      </c>
      <c r="J481" s="46">
        <v>0.11522299487890608</v>
      </c>
    </row>
    <row r="482" spans="1:10" ht="11.25" customHeight="1" x14ac:dyDescent="0.2">
      <c r="A482" s="55">
        <v>44621</v>
      </c>
      <c r="B482" s="45">
        <v>0</v>
      </c>
      <c r="C482" s="45">
        <v>0</v>
      </c>
      <c r="D482" s="45">
        <v>59653.051919999998</v>
      </c>
      <c r="E482" s="45">
        <v>70208.170743504481</v>
      </c>
      <c r="F482" s="45">
        <v>17874.028040000001</v>
      </c>
      <c r="G482" s="45">
        <v>16251.811553703132</v>
      </c>
      <c r="H482" s="46">
        <v>0.17694180739754661</v>
      </c>
      <c r="I482" s="46">
        <v>-9.0758304880496854E-2</v>
      </c>
      <c r="J482" s="46">
        <v>0.11522299487890586</v>
      </c>
    </row>
    <row r="483" spans="1:10" ht="11.25" customHeight="1" x14ac:dyDescent="0.2">
      <c r="A483" s="55">
        <v>44652</v>
      </c>
      <c r="B483" s="45">
        <v>0</v>
      </c>
      <c r="C483" s="45">
        <v>0</v>
      </c>
      <c r="D483" s="45">
        <v>42158.922120000003</v>
      </c>
      <c r="E483" s="45">
        <v>49618.597997845216</v>
      </c>
      <c r="F483" s="45">
        <v>12632.20794</v>
      </c>
      <c r="G483" s="45">
        <v>11485.73016046765</v>
      </c>
      <c r="H483" s="46">
        <v>0.17694180739754684</v>
      </c>
      <c r="I483" s="46">
        <v>-9.0758304880496632E-2</v>
      </c>
      <c r="J483" s="46">
        <v>0.1152229948789063</v>
      </c>
    </row>
    <row r="484" spans="1:10" ht="11.25" customHeight="1" x14ac:dyDescent="0.2">
      <c r="A484" s="55">
        <v>44682</v>
      </c>
      <c r="B484" s="45">
        <v>0</v>
      </c>
      <c r="C484" s="45">
        <v>0</v>
      </c>
      <c r="D484" s="45">
        <v>35910.481319999999</v>
      </c>
      <c r="E484" s="45">
        <v>42264.546789276639</v>
      </c>
      <c r="F484" s="45">
        <v>10759.968339999999</v>
      </c>
      <c r="G484" s="45">
        <v>9783.4118528937888</v>
      </c>
      <c r="H484" s="46">
        <v>0.17694180739754684</v>
      </c>
      <c r="I484" s="46">
        <v>-9.0758304880496632E-2</v>
      </c>
      <c r="J484" s="46">
        <v>0.1152229948789063</v>
      </c>
    </row>
    <row r="485" spans="1:10" ht="11.25" customHeight="1" x14ac:dyDescent="0.2">
      <c r="A485" s="55">
        <v>44713</v>
      </c>
      <c r="B485" s="45">
        <v>0</v>
      </c>
      <c r="C485" s="45">
        <v>0</v>
      </c>
      <c r="D485" s="45">
        <v>36372.845880000001</v>
      </c>
      <c r="E485" s="45">
        <v>42808.722970199604</v>
      </c>
      <c r="F485" s="45">
        <v>10898.50806</v>
      </c>
      <c r="G485" s="45">
        <v>9909.3779427479694</v>
      </c>
      <c r="H485" s="46">
        <v>0.17694180739754661</v>
      </c>
      <c r="I485" s="46">
        <v>-9.0758304880496743E-2</v>
      </c>
      <c r="J485" s="46">
        <v>0.11522299487890586</v>
      </c>
    </row>
    <row r="486" spans="1:10" ht="11.25" customHeight="1" x14ac:dyDescent="0.2">
      <c r="A486" s="55">
        <v>44743</v>
      </c>
      <c r="B486" s="45">
        <v>0</v>
      </c>
      <c r="C486" s="45">
        <v>0</v>
      </c>
      <c r="D486" s="45">
        <v>33103.697760000003</v>
      </c>
      <c r="E486" s="45">
        <v>38961.125873196521</v>
      </c>
      <c r="F486" s="45">
        <v>9918.9631200000003</v>
      </c>
      <c r="G486" s="45">
        <v>9018.7348410566374</v>
      </c>
      <c r="H486" s="46">
        <v>0.17694180739754661</v>
      </c>
      <c r="I486" s="46">
        <v>-9.0758304880496743E-2</v>
      </c>
      <c r="J486" s="46">
        <v>0.11522299487890608</v>
      </c>
    </row>
    <row r="487" spans="1:10" ht="11.25" customHeight="1" x14ac:dyDescent="0.2">
      <c r="A487" s="55">
        <v>44774</v>
      </c>
      <c r="B487" s="45">
        <v>0</v>
      </c>
      <c r="C487" s="45">
        <v>0</v>
      </c>
      <c r="D487" s="45">
        <v>33103.697760000003</v>
      </c>
      <c r="E487" s="45">
        <v>38961.125873196521</v>
      </c>
      <c r="F487" s="45">
        <v>9918.9631200000003</v>
      </c>
      <c r="G487" s="45">
        <v>9018.7348410566374</v>
      </c>
      <c r="H487" s="46">
        <v>0.17694180739754661</v>
      </c>
      <c r="I487" s="46">
        <v>-9.0758304880496743E-2</v>
      </c>
      <c r="J487" s="46">
        <v>0.11522299487890608</v>
      </c>
    </row>
    <row r="488" spans="1:10" ht="11.25" customHeight="1" x14ac:dyDescent="0.2">
      <c r="A488" s="50" t="s">
        <v>49</v>
      </c>
      <c r="B488" s="45">
        <v>0</v>
      </c>
      <c r="C488" s="45">
        <v>0</v>
      </c>
      <c r="D488" s="45">
        <v>114172.36281360002</v>
      </c>
      <c r="E488" s="45">
        <v>134374.22704468685</v>
      </c>
      <c r="F488" s="45">
        <v>34209.817413199999</v>
      </c>
      <c r="G488" s="45">
        <v>31104.99237450667</v>
      </c>
      <c r="H488" s="46">
        <v>0.17694180739754661</v>
      </c>
      <c r="I488" s="46">
        <v>-9.0758304880496632E-2</v>
      </c>
      <c r="J488" s="46">
        <v>0.11522299487890586</v>
      </c>
    </row>
    <row r="489" spans="1:10" ht="11.25" customHeight="1" x14ac:dyDescent="0.2">
      <c r="A489" s="51" t="s">
        <v>50</v>
      </c>
      <c r="B489" s="45">
        <v>0</v>
      </c>
      <c r="C489" s="45">
        <v>0</v>
      </c>
      <c r="D489" s="45">
        <v>114172.36281360002</v>
      </c>
      <c r="E489" s="45">
        <v>134374.22704468685</v>
      </c>
      <c r="F489" s="45">
        <v>34209.817413199999</v>
      </c>
      <c r="G489" s="45">
        <v>31104.99237450667</v>
      </c>
      <c r="H489" s="46">
        <v>0.17694180739754661</v>
      </c>
      <c r="I489" s="46">
        <v>-9.0758304880496632E-2</v>
      </c>
      <c r="J489" s="46">
        <v>0.11522299487890586</v>
      </c>
    </row>
    <row r="490" spans="1:10" ht="11.25" customHeight="1" x14ac:dyDescent="0.2">
      <c r="A490" s="52" t="s">
        <v>25</v>
      </c>
      <c r="B490" s="45">
        <v>0</v>
      </c>
      <c r="C490" s="45">
        <v>0</v>
      </c>
      <c r="D490" s="45">
        <v>114172.36281360002</v>
      </c>
      <c r="E490" s="45">
        <v>134374.22704468685</v>
      </c>
      <c r="F490" s="45">
        <v>34209.817413199999</v>
      </c>
      <c r="G490" s="45">
        <v>31104.99237450667</v>
      </c>
      <c r="H490" s="46">
        <v>0.17694180739754661</v>
      </c>
      <c r="I490" s="46">
        <v>-9.0758304880496632E-2</v>
      </c>
      <c r="J490" s="46">
        <v>0.11522299487890586</v>
      </c>
    </row>
    <row r="491" spans="1:10" ht="11.25" customHeight="1" x14ac:dyDescent="0.2">
      <c r="A491" s="53" t="s">
        <v>25</v>
      </c>
      <c r="B491" s="45">
        <v>0</v>
      </c>
      <c r="C491" s="45">
        <v>0</v>
      </c>
      <c r="D491" s="45">
        <v>114172.36281360002</v>
      </c>
      <c r="E491" s="45">
        <v>134374.22704468685</v>
      </c>
      <c r="F491" s="45">
        <v>34209.817413199999</v>
      </c>
      <c r="G491" s="45">
        <v>31104.99237450667</v>
      </c>
      <c r="H491" s="46">
        <v>0.17694180739754661</v>
      </c>
      <c r="I491" s="46">
        <v>-9.0758304880496632E-2</v>
      </c>
      <c r="J491" s="46">
        <v>0.11522299487890586</v>
      </c>
    </row>
    <row r="492" spans="1:10" ht="11.25" customHeight="1" x14ac:dyDescent="0.2">
      <c r="A492" s="54" t="s">
        <v>25</v>
      </c>
      <c r="B492" s="45">
        <v>0</v>
      </c>
      <c r="C492" s="45">
        <v>0</v>
      </c>
      <c r="D492" s="45">
        <v>114172.36281360002</v>
      </c>
      <c r="E492" s="45">
        <v>134374.22704468685</v>
      </c>
      <c r="F492" s="45">
        <v>34209.817413199999</v>
      </c>
      <c r="G492" s="45">
        <v>31104.99237450667</v>
      </c>
      <c r="H492" s="46">
        <v>0.17694180739754661</v>
      </c>
      <c r="I492" s="46">
        <v>-9.0758304880496632E-2</v>
      </c>
      <c r="J492" s="46">
        <v>0.11522299487890586</v>
      </c>
    </row>
    <row r="493" spans="1:10" ht="11.25" customHeight="1" x14ac:dyDescent="0.2">
      <c r="A493" s="55">
        <v>44440</v>
      </c>
      <c r="B493" s="45">
        <v>0</v>
      </c>
      <c r="C493" s="45">
        <v>0</v>
      </c>
      <c r="D493" s="45">
        <v>8095.2010775999988</v>
      </c>
      <c r="E493" s="45">
        <v>9527.58058751711</v>
      </c>
      <c r="F493" s="45">
        <v>2425.5900811999995</v>
      </c>
      <c r="G493" s="45">
        <v>2205.4476370953412</v>
      </c>
      <c r="H493" s="46">
        <v>0.17694180739754661</v>
      </c>
      <c r="I493" s="46">
        <v>-9.0758304880496743E-2</v>
      </c>
      <c r="J493" s="46">
        <v>0.11522299487890608</v>
      </c>
    </row>
    <row r="494" spans="1:10" ht="11.25" customHeight="1" x14ac:dyDescent="0.2">
      <c r="A494" s="55">
        <v>44470</v>
      </c>
      <c r="B494" s="45">
        <v>0</v>
      </c>
      <c r="C494" s="45">
        <v>0</v>
      </c>
      <c r="D494" s="45">
        <v>7925.0288544000005</v>
      </c>
      <c r="E494" s="45">
        <v>9327.2977835752463</v>
      </c>
      <c r="F494" s="45">
        <v>2374.6008528000002</v>
      </c>
      <c r="G494" s="45">
        <v>2159.0861046320902</v>
      </c>
      <c r="H494" s="46">
        <v>0.17694180739754684</v>
      </c>
      <c r="I494" s="46">
        <v>-9.0758304880496743E-2</v>
      </c>
      <c r="J494" s="46">
        <v>0.11522299487890608</v>
      </c>
    </row>
    <row r="495" spans="1:10" ht="11.25" customHeight="1" x14ac:dyDescent="0.2">
      <c r="A495" s="55">
        <v>44501</v>
      </c>
      <c r="B495" s="45">
        <v>0</v>
      </c>
      <c r="C495" s="45">
        <v>0</v>
      </c>
      <c r="D495" s="45">
        <v>8511.9108983999995</v>
      </c>
      <c r="E495" s="45">
        <v>10018.02379716977</v>
      </c>
      <c r="F495" s="45">
        <v>2550.4501307999994</v>
      </c>
      <c r="G495" s="45">
        <v>2318.975600246351</v>
      </c>
      <c r="H495" s="46">
        <v>0.17694180739754661</v>
      </c>
      <c r="I495" s="46">
        <v>-9.0758304880496521E-2</v>
      </c>
      <c r="J495" s="46">
        <v>0.11522299487890608</v>
      </c>
    </row>
    <row r="496" spans="1:10" ht="11.25" customHeight="1" x14ac:dyDescent="0.2">
      <c r="A496" s="55">
        <v>44531</v>
      </c>
      <c r="B496" s="45">
        <v>0</v>
      </c>
      <c r="C496" s="45">
        <v>0</v>
      </c>
      <c r="D496" s="45">
        <v>8627.4017424000012</v>
      </c>
      <c r="E496" s="45">
        <v>10153.949799845001</v>
      </c>
      <c r="F496" s="45">
        <v>2585.0550088</v>
      </c>
      <c r="G496" s="45">
        <v>2350.4397981784746</v>
      </c>
      <c r="H496" s="46">
        <v>0.17694180739754661</v>
      </c>
      <c r="I496" s="46">
        <v>-9.0758304880496632E-2</v>
      </c>
      <c r="J496" s="46">
        <v>0.11522299487890608</v>
      </c>
    </row>
    <row r="497" spans="1:10" ht="11.25" customHeight="1" x14ac:dyDescent="0.2">
      <c r="A497" s="55">
        <v>44562</v>
      </c>
      <c r="B497" s="45">
        <v>0</v>
      </c>
      <c r="C497" s="45">
        <v>0</v>
      </c>
      <c r="D497" s="45">
        <v>10027.4336064</v>
      </c>
      <c r="E497" s="45">
        <v>11801.705832275316</v>
      </c>
      <c r="F497" s="45">
        <v>3004.5508768</v>
      </c>
      <c r="G497" s="45">
        <v>2731.8629322944221</v>
      </c>
      <c r="H497" s="46">
        <v>0.17694180739754684</v>
      </c>
      <c r="I497" s="46">
        <v>-9.0758304880496632E-2</v>
      </c>
      <c r="J497" s="46">
        <v>0.11522299487890608</v>
      </c>
    </row>
    <row r="498" spans="1:10" ht="11.25" customHeight="1" x14ac:dyDescent="0.2">
      <c r="A498" s="55">
        <v>44593</v>
      </c>
      <c r="B498" s="45">
        <v>0</v>
      </c>
      <c r="C498" s="45">
        <v>0</v>
      </c>
      <c r="D498" s="45">
        <v>11614.6077768</v>
      </c>
      <c r="E498" s="45">
        <v>13669.717469040594</v>
      </c>
      <c r="F498" s="45">
        <v>3480.1207715999999</v>
      </c>
      <c r="G498" s="45">
        <v>3164.2709095901778</v>
      </c>
      <c r="H498" s="46">
        <v>0.17694180739754684</v>
      </c>
      <c r="I498" s="46">
        <v>-9.0758304880496632E-2</v>
      </c>
      <c r="J498" s="46">
        <v>0.1152229948789063</v>
      </c>
    </row>
    <row r="499" spans="1:10" ht="11.25" customHeight="1" x14ac:dyDescent="0.2">
      <c r="A499" s="55">
        <v>44621</v>
      </c>
      <c r="B499" s="45">
        <v>0</v>
      </c>
      <c r="C499" s="45">
        <v>0</v>
      </c>
      <c r="D499" s="45">
        <v>10402.6610016</v>
      </c>
      <c r="E499" s="45">
        <v>12243.326640967078</v>
      </c>
      <c r="F499" s="45">
        <v>3116.9814191999999</v>
      </c>
      <c r="G499" s="45">
        <v>2834.089469249403</v>
      </c>
      <c r="H499" s="46">
        <v>0.17694180739754684</v>
      </c>
      <c r="I499" s="46">
        <v>-9.0758304880496743E-2</v>
      </c>
      <c r="J499" s="46">
        <v>0.11522299487890608</v>
      </c>
    </row>
    <row r="500" spans="1:10" ht="11.25" customHeight="1" x14ac:dyDescent="0.2">
      <c r="A500" s="55">
        <v>44652</v>
      </c>
      <c r="B500" s="45">
        <v>0</v>
      </c>
      <c r="C500" s="45">
        <v>0</v>
      </c>
      <c r="D500" s="45">
        <v>9824.2639992000004</v>
      </c>
      <c r="E500" s="45">
        <v>11562.5870275691</v>
      </c>
      <c r="F500" s="45">
        <v>2943.6745403999998</v>
      </c>
      <c r="G500" s="45">
        <v>2676.5116289934208</v>
      </c>
      <c r="H500" s="46">
        <v>0.17694180739754684</v>
      </c>
      <c r="I500" s="46">
        <v>-9.0758304880496632E-2</v>
      </c>
      <c r="J500" s="46">
        <v>0.1152229948789063</v>
      </c>
    </row>
    <row r="501" spans="1:10" ht="11.25" customHeight="1" x14ac:dyDescent="0.2">
      <c r="A501" s="55">
        <v>44682</v>
      </c>
      <c r="B501" s="45">
        <v>0</v>
      </c>
      <c r="C501" s="45">
        <v>0</v>
      </c>
      <c r="D501" s="45">
        <v>9330.7174127999988</v>
      </c>
      <c r="E501" s="45">
        <v>10981.711416136592</v>
      </c>
      <c r="F501" s="45">
        <v>2795.7916535999998</v>
      </c>
      <c r="G501" s="45">
        <v>2542.0503423202231</v>
      </c>
      <c r="H501" s="46">
        <v>0.17694180739754684</v>
      </c>
      <c r="I501" s="46">
        <v>-9.0758304880496632E-2</v>
      </c>
      <c r="J501" s="46">
        <v>0.11522299487890608</v>
      </c>
    </row>
    <row r="502" spans="1:10" ht="11.25" customHeight="1" x14ac:dyDescent="0.2">
      <c r="A502" s="55">
        <v>44713</v>
      </c>
      <c r="B502" s="45">
        <v>0</v>
      </c>
      <c r="C502" s="45">
        <v>0</v>
      </c>
      <c r="D502" s="45">
        <v>10120.297672799999</v>
      </c>
      <c r="E502" s="45">
        <v>11911.001434426416</v>
      </c>
      <c r="F502" s="45">
        <v>3032.3760235999998</v>
      </c>
      <c r="G502" s="45">
        <v>2757.1627159378027</v>
      </c>
      <c r="H502" s="46">
        <v>0.17694180739754661</v>
      </c>
      <c r="I502" s="46">
        <v>-9.0758304880496743E-2</v>
      </c>
      <c r="J502" s="46">
        <v>0.11522299487890608</v>
      </c>
    </row>
    <row r="503" spans="1:10" ht="11.25" customHeight="1" x14ac:dyDescent="0.2">
      <c r="A503" s="55">
        <v>44743</v>
      </c>
      <c r="B503" s="45">
        <v>0</v>
      </c>
      <c r="C503" s="45">
        <v>0</v>
      </c>
      <c r="D503" s="45">
        <v>9846.419385600002</v>
      </c>
      <c r="E503" s="45">
        <v>11588.662628082306</v>
      </c>
      <c r="F503" s="45">
        <v>2950.3130271999999</v>
      </c>
      <c r="G503" s="45">
        <v>2682.5476179844813</v>
      </c>
      <c r="H503" s="46">
        <v>0.17694180739754639</v>
      </c>
      <c r="I503" s="46">
        <v>-9.0758304880496632E-2</v>
      </c>
      <c r="J503" s="46">
        <v>0.11522299487890608</v>
      </c>
    </row>
    <row r="504" spans="1:10" ht="11.25" customHeight="1" x14ac:dyDescent="0.2">
      <c r="A504" s="55">
        <v>44774</v>
      </c>
      <c r="B504" s="45">
        <v>0</v>
      </c>
      <c r="C504" s="45">
        <v>0</v>
      </c>
      <c r="D504" s="45">
        <v>9846.419385600002</v>
      </c>
      <c r="E504" s="45">
        <v>11588.662628082306</v>
      </c>
      <c r="F504" s="45">
        <v>2950.3130271999999</v>
      </c>
      <c r="G504" s="45">
        <v>2682.5476179844813</v>
      </c>
      <c r="H504" s="46">
        <v>0.17694180739754639</v>
      </c>
      <c r="I504" s="46">
        <v>-9.0758304880496632E-2</v>
      </c>
      <c r="J504" s="46">
        <v>0.11522299487890608</v>
      </c>
    </row>
    <row r="505" spans="1:10" ht="11.25" customHeight="1" x14ac:dyDescent="0.2">
      <c r="A505" s="48" t="s">
        <v>46</v>
      </c>
      <c r="B505" s="45">
        <v>0</v>
      </c>
      <c r="C505" s="45">
        <v>0</v>
      </c>
      <c r="D505" s="45">
        <v>1416904.4408400001</v>
      </c>
      <c r="E505" s="45">
        <v>1667577.7973736299</v>
      </c>
      <c r="F505" s="45">
        <v>424526.80368000001</v>
      </c>
      <c r="G505" s="45">
        <v>386011.4830945502</v>
      </c>
      <c r="H505" s="46">
        <v>0.17691620500887151</v>
      </c>
      <c r="I505" s="46">
        <v>-9.0725297558553963E-2</v>
      </c>
      <c r="J505" s="46">
        <v>0.11521366142751766</v>
      </c>
    </row>
    <row r="506" spans="1:10" ht="11.25" customHeight="1" x14ac:dyDescent="0.2">
      <c r="A506" s="49" t="s">
        <v>23</v>
      </c>
      <c r="B506" s="45">
        <v>0</v>
      </c>
      <c r="C506" s="45">
        <v>0</v>
      </c>
      <c r="D506" s="45">
        <v>1416904.4408400001</v>
      </c>
      <c r="E506" s="45">
        <v>1667577.7973736299</v>
      </c>
      <c r="F506" s="45">
        <v>424526.80368000001</v>
      </c>
      <c r="G506" s="45">
        <v>386011.4830945502</v>
      </c>
      <c r="H506" s="46">
        <v>0.17691620500887151</v>
      </c>
      <c r="I506" s="46">
        <v>-9.0725297558553963E-2</v>
      </c>
      <c r="J506" s="46">
        <v>0.11521366142751766</v>
      </c>
    </row>
    <row r="507" spans="1:10" ht="11.25" customHeight="1" x14ac:dyDescent="0.2">
      <c r="A507" s="50" t="s">
        <v>47</v>
      </c>
      <c r="B507" s="45">
        <v>0</v>
      </c>
      <c r="C507" s="45">
        <v>0</v>
      </c>
      <c r="D507" s="45">
        <v>1416904.4408400001</v>
      </c>
      <c r="E507" s="45">
        <v>1667577.7973736299</v>
      </c>
      <c r="F507" s="45">
        <v>424526.80368000001</v>
      </c>
      <c r="G507" s="45">
        <v>386011.4830945502</v>
      </c>
      <c r="H507" s="46">
        <v>0.17691620500887151</v>
      </c>
      <c r="I507" s="46">
        <v>-9.0725297558553963E-2</v>
      </c>
      <c r="J507" s="46">
        <v>0.11521366142751766</v>
      </c>
    </row>
    <row r="508" spans="1:10" ht="11.25" customHeight="1" x14ac:dyDescent="0.2">
      <c r="A508" s="51" t="s">
        <v>48</v>
      </c>
      <c r="B508" s="45">
        <v>0</v>
      </c>
      <c r="C508" s="45">
        <v>0</v>
      </c>
      <c r="D508" s="45">
        <v>1416904.4408400001</v>
      </c>
      <c r="E508" s="45">
        <v>1667577.7973736299</v>
      </c>
      <c r="F508" s="45">
        <v>424526.80368000001</v>
      </c>
      <c r="G508" s="45">
        <v>386011.4830945502</v>
      </c>
      <c r="H508" s="46">
        <v>0.17691620500887151</v>
      </c>
      <c r="I508" s="46">
        <v>-9.0725297558553963E-2</v>
      </c>
      <c r="J508" s="46">
        <v>0.11521366142751766</v>
      </c>
    </row>
    <row r="509" spans="1:10" ht="11.25" customHeight="1" x14ac:dyDescent="0.2">
      <c r="A509" s="52" t="s">
        <v>25</v>
      </c>
      <c r="B509" s="45">
        <v>0</v>
      </c>
      <c r="C509" s="45">
        <v>0</v>
      </c>
      <c r="D509" s="45">
        <v>1416904.4408400001</v>
      </c>
      <c r="E509" s="45">
        <v>1667577.7973736299</v>
      </c>
      <c r="F509" s="45">
        <v>424526.80368000001</v>
      </c>
      <c r="G509" s="45">
        <v>386011.4830945502</v>
      </c>
      <c r="H509" s="46">
        <v>0.17691620500887151</v>
      </c>
      <c r="I509" s="46">
        <v>-9.0725297558553963E-2</v>
      </c>
      <c r="J509" s="46">
        <v>0.11521366142751766</v>
      </c>
    </row>
    <row r="510" spans="1:10" ht="11.25" customHeight="1" x14ac:dyDescent="0.2">
      <c r="A510" s="53" t="s">
        <v>25</v>
      </c>
      <c r="B510" s="45">
        <v>0</v>
      </c>
      <c r="C510" s="45">
        <v>0</v>
      </c>
      <c r="D510" s="45">
        <v>1416904.4408400001</v>
      </c>
      <c r="E510" s="45">
        <v>1667577.7973736299</v>
      </c>
      <c r="F510" s="45">
        <v>424526.80368000001</v>
      </c>
      <c r="G510" s="45">
        <v>386011.4830945502</v>
      </c>
      <c r="H510" s="46">
        <v>0.17691620500887151</v>
      </c>
      <c r="I510" s="46">
        <v>-9.0725297558553963E-2</v>
      </c>
      <c r="J510" s="46">
        <v>0.11521366142751766</v>
      </c>
    </row>
    <row r="511" spans="1:10" ht="11.25" customHeight="1" x14ac:dyDescent="0.2">
      <c r="A511" s="54" t="s">
        <v>25</v>
      </c>
      <c r="B511" s="45">
        <v>0</v>
      </c>
      <c r="C511" s="45">
        <v>0</v>
      </c>
      <c r="D511" s="45">
        <v>1416904.4408400001</v>
      </c>
      <c r="E511" s="45">
        <v>1667577.7973736299</v>
      </c>
      <c r="F511" s="45">
        <v>424526.80368000001</v>
      </c>
      <c r="G511" s="45">
        <v>386011.4830945502</v>
      </c>
      <c r="H511" s="46">
        <v>0.17691620500887151</v>
      </c>
      <c r="I511" s="46">
        <v>-9.0725297558553963E-2</v>
      </c>
      <c r="J511" s="46">
        <v>0.11521366142751766</v>
      </c>
    </row>
    <row r="512" spans="1:10" ht="11.25" customHeight="1" x14ac:dyDescent="0.2">
      <c r="A512" s="55">
        <v>44440</v>
      </c>
      <c r="B512" s="45">
        <v>0</v>
      </c>
      <c r="C512" s="45">
        <v>0</v>
      </c>
      <c r="D512" s="45">
        <v>119387.3079</v>
      </c>
      <c r="E512" s="45">
        <v>140508.8573398937</v>
      </c>
      <c r="F512" s="45">
        <v>35770.310799999999</v>
      </c>
      <c r="G512" s="45">
        <v>32525.03870890805</v>
      </c>
      <c r="H512" s="46">
        <v>0.17691620500887173</v>
      </c>
      <c r="I512" s="46">
        <v>-9.0725297558553741E-2</v>
      </c>
      <c r="J512" s="46">
        <v>0.1152136614275181</v>
      </c>
    </row>
    <row r="513" spans="1:10" ht="11.25" customHeight="1" x14ac:dyDescent="0.2">
      <c r="A513" s="55">
        <v>44470</v>
      </c>
      <c r="B513" s="45">
        <v>0</v>
      </c>
      <c r="C513" s="45">
        <v>0</v>
      </c>
      <c r="D513" s="45">
        <v>110047.49106</v>
      </c>
      <c r="E513" s="45">
        <v>129516.67554908292</v>
      </c>
      <c r="F513" s="45">
        <v>32971.955119999999</v>
      </c>
      <c r="G513" s="45">
        <v>29980.564680650717</v>
      </c>
      <c r="H513" s="46">
        <v>0.17691620500887151</v>
      </c>
      <c r="I513" s="46">
        <v>-9.0725297558553741E-2</v>
      </c>
      <c r="J513" s="46">
        <v>0.11521366142751788</v>
      </c>
    </row>
    <row r="514" spans="1:10" ht="11.25" customHeight="1" x14ac:dyDescent="0.2">
      <c r="A514" s="55">
        <v>44501</v>
      </c>
      <c r="B514" s="45">
        <v>0</v>
      </c>
      <c r="C514" s="45">
        <v>0</v>
      </c>
      <c r="D514" s="45">
        <v>102206.20427999999</v>
      </c>
      <c r="E514" s="45">
        <v>120288.13806957909</v>
      </c>
      <c r="F514" s="45">
        <v>30622.582559999999</v>
      </c>
      <c r="G514" s="45">
        <v>27844.339645232616</v>
      </c>
      <c r="H514" s="46">
        <v>0.17691620500887173</v>
      </c>
      <c r="I514" s="46">
        <v>-9.0725297558553852E-2</v>
      </c>
      <c r="J514" s="46">
        <v>0.1152136614275181</v>
      </c>
    </row>
    <row r="515" spans="1:10" ht="11.25" customHeight="1" x14ac:dyDescent="0.2">
      <c r="A515" s="55">
        <v>44531</v>
      </c>
      <c r="B515" s="45">
        <v>0</v>
      </c>
      <c r="C515" s="45">
        <v>0</v>
      </c>
      <c r="D515" s="45">
        <v>99136.051859999992</v>
      </c>
      <c r="E515" s="45">
        <v>116674.82593463389</v>
      </c>
      <c r="F515" s="45">
        <v>29702.71672</v>
      </c>
      <c r="G515" s="45">
        <v>27007.92890728057</v>
      </c>
      <c r="H515" s="46">
        <v>0.17691620500887173</v>
      </c>
      <c r="I515" s="46">
        <v>-9.0725297558553741E-2</v>
      </c>
      <c r="J515" s="46">
        <v>0.1152136614275181</v>
      </c>
    </row>
    <row r="516" spans="1:10" ht="11.25" customHeight="1" x14ac:dyDescent="0.2">
      <c r="A516" s="55">
        <v>44562</v>
      </c>
      <c r="B516" s="45">
        <v>0</v>
      </c>
      <c r="C516" s="45">
        <v>0</v>
      </c>
      <c r="D516" s="45">
        <v>100579.69373999999</v>
      </c>
      <c r="E516" s="45">
        <v>118373.87145743535</v>
      </c>
      <c r="F516" s="45">
        <v>30135.25448</v>
      </c>
      <c r="G516" s="45">
        <v>27401.224550299255</v>
      </c>
      <c r="H516" s="46">
        <v>0.17691620500887173</v>
      </c>
      <c r="I516" s="46">
        <v>-9.0725297558553852E-2</v>
      </c>
      <c r="J516" s="46">
        <v>0.11521366142751788</v>
      </c>
    </row>
    <row r="517" spans="1:10" ht="11.25" customHeight="1" x14ac:dyDescent="0.2">
      <c r="A517" s="55">
        <v>44593</v>
      </c>
      <c r="B517" s="45">
        <v>0</v>
      </c>
      <c r="C517" s="45">
        <v>0</v>
      </c>
      <c r="D517" s="45">
        <v>107270.25947999999</v>
      </c>
      <c r="E517" s="45">
        <v>126248.10669751852</v>
      </c>
      <c r="F517" s="45">
        <v>32139.85296</v>
      </c>
      <c r="G517" s="45">
        <v>29223.955236715832</v>
      </c>
      <c r="H517" s="46">
        <v>0.17691620500887151</v>
      </c>
      <c r="I517" s="46">
        <v>-9.0725297558553852E-2</v>
      </c>
      <c r="J517" s="46">
        <v>0.11521366142751788</v>
      </c>
    </row>
    <row r="518" spans="1:10" ht="11.25" customHeight="1" x14ac:dyDescent="0.2">
      <c r="A518" s="55">
        <v>44621</v>
      </c>
      <c r="B518" s="45">
        <v>0</v>
      </c>
      <c r="C518" s="45">
        <v>0</v>
      </c>
      <c r="D518" s="45">
        <v>115992.79115999999</v>
      </c>
      <c r="E518" s="45">
        <v>136513.7955804138</v>
      </c>
      <c r="F518" s="45">
        <v>34753.260320000001</v>
      </c>
      <c r="G518" s="45">
        <v>31600.260436338118</v>
      </c>
      <c r="H518" s="46">
        <v>0.17691620500887173</v>
      </c>
      <c r="I518" s="46">
        <v>-9.0725297558553852E-2</v>
      </c>
      <c r="J518" s="46">
        <v>0.1152136614275181</v>
      </c>
    </row>
    <row r="519" spans="1:10" ht="11.25" customHeight="1" x14ac:dyDescent="0.2">
      <c r="A519" s="55">
        <v>44652</v>
      </c>
      <c r="B519" s="45">
        <v>0</v>
      </c>
      <c r="C519" s="45">
        <v>0</v>
      </c>
      <c r="D519" s="45">
        <v>124945.35672</v>
      </c>
      <c r="E519" s="45">
        <v>147050.21506438212</v>
      </c>
      <c r="F519" s="45">
        <v>37435.589439999996</v>
      </c>
      <c r="G519" s="45">
        <v>34039.234448776144</v>
      </c>
      <c r="H519" s="46">
        <v>0.17691620500887173</v>
      </c>
      <c r="I519" s="46">
        <v>-9.0725297558553741E-2</v>
      </c>
      <c r="J519" s="46">
        <v>0.1152136614275181</v>
      </c>
    </row>
    <row r="520" spans="1:10" ht="11.25" customHeight="1" x14ac:dyDescent="0.2">
      <c r="A520" s="55">
        <v>44682</v>
      </c>
      <c r="B520" s="45">
        <v>0</v>
      </c>
      <c r="C520" s="45">
        <v>0</v>
      </c>
      <c r="D520" s="45">
        <v>132150.87839999999</v>
      </c>
      <c r="E520" s="45">
        <v>155530.51029511687</v>
      </c>
      <c r="F520" s="45">
        <v>39594.476800000004</v>
      </c>
      <c r="G520" s="45">
        <v>36002.256110644747</v>
      </c>
      <c r="H520" s="46">
        <v>0.17691620500887173</v>
      </c>
      <c r="I520" s="46">
        <v>-9.0725297558553852E-2</v>
      </c>
      <c r="J520" s="46">
        <v>0.1152136614275181</v>
      </c>
    </row>
    <row r="521" spans="1:10" ht="11.25" customHeight="1" x14ac:dyDescent="0.2">
      <c r="A521" s="55">
        <v>44713</v>
      </c>
      <c r="B521" s="45">
        <v>0</v>
      </c>
      <c r="C521" s="45">
        <v>0</v>
      </c>
      <c r="D521" s="45">
        <v>135878.30987999999</v>
      </c>
      <c r="E521" s="45">
        <v>159917.38480698908</v>
      </c>
      <c r="F521" s="45">
        <v>40711.273760000004</v>
      </c>
      <c r="G521" s="45">
        <v>37017.731334136253</v>
      </c>
      <c r="H521" s="46">
        <v>0.17691620500887195</v>
      </c>
      <c r="I521" s="46">
        <v>-9.0725297558553963E-2</v>
      </c>
      <c r="J521" s="46">
        <v>0.1152136614275181</v>
      </c>
    </row>
    <row r="522" spans="1:10" ht="11.25" customHeight="1" x14ac:dyDescent="0.2">
      <c r="A522" s="55">
        <v>44743</v>
      </c>
      <c r="B522" s="45">
        <v>0</v>
      </c>
      <c r="C522" s="45">
        <v>0</v>
      </c>
      <c r="D522" s="45">
        <v>134655.04818000001</v>
      </c>
      <c r="E522" s="45">
        <v>158477.70828929238</v>
      </c>
      <c r="F522" s="45">
        <v>40344.765360000005</v>
      </c>
      <c r="G522" s="45">
        <v>36684.474517783965</v>
      </c>
      <c r="H522" s="46">
        <v>0.17691620500887151</v>
      </c>
      <c r="I522" s="46">
        <v>-9.0725297558553963E-2</v>
      </c>
      <c r="J522" s="46">
        <v>0.1152136614275181</v>
      </c>
    </row>
    <row r="523" spans="1:10" ht="11.25" customHeight="1" x14ac:dyDescent="0.2">
      <c r="A523" s="55">
        <v>44774</v>
      </c>
      <c r="B523" s="45">
        <v>0</v>
      </c>
      <c r="C523" s="45">
        <v>0</v>
      </c>
      <c r="D523" s="45">
        <v>134655.04818000001</v>
      </c>
      <c r="E523" s="45">
        <v>158477.70828929238</v>
      </c>
      <c r="F523" s="45">
        <v>40344.765360000005</v>
      </c>
      <c r="G523" s="45">
        <v>36684.474517783965</v>
      </c>
      <c r="H523" s="46">
        <v>0.17691620500887151</v>
      </c>
      <c r="I523" s="46">
        <v>-9.0725297558553963E-2</v>
      </c>
      <c r="J523" s="46">
        <v>0.1152136614275181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BC1F-1780-4B4A-8EDC-5979469F26A7}">
  <dimension ref="A1:G234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632</v>
      </c>
      <c r="B1" s="45" t="s">
        <v>658</v>
      </c>
      <c r="C1" s="45" t="s">
        <v>659</v>
      </c>
      <c r="D1" s="45" t="s">
        <v>660</v>
      </c>
      <c r="E1" s="45" t="s">
        <v>661</v>
      </c>
      <c r="F1" s="45" t="s">
        <v>662</v>
      </c>
      <c r="G1" s="45" t="s">
        <v>663</v>
      </c>
    </row>
    <row r="2" spans="1:7" ht="11.25" customHeight="1" x14ac:dyDescent="0.2">
      <c r="A2" s="47" t="s">
        <v>648</v>
      </c>
      <c r="B2" s="45">
        <v>3537.648000000001</v>
      </c>
      <c r="C2" s="45">
        <v>10903.254972000002</v>
      </c>
      <c r="D2" s="45">
        <v>3870.2618172929551</v>
      </c>
      <c r="E2" s="45">
        <v>12020.517674585537</v>
      </c>
      <c r="F2" s="45">
        <v>14440.902972000004</v>
      </c>
      <c r="G2" s="45">
        <v>15890.779491878493</v>
      </c>
    </row>
    <row r="3" spans="1:7" ht="11.25" customHeight="1" x14ac:dyDescent="0.2">
      <c r="A3" s="48" t="s">
        <v>35</v>
      </c>
      <c r="B3" s="45">
        <v>3537.648000000001</v>
      </c>
      <c r="C3" s="45">
        <v>1432.0519787999999</v>
      </c>
      <c r="D3" s="45">
        <v>3870.2618172929551</v>
      </c>
      <c r="E3" s="45">
        <v>1458.0143074029681</v>
      </c>
      <c r="F3" s="45">
        <v>4969.6999788000012</v>
      </c>
      <c r="G3" s="45">
        <v>5328.2761246959235</v>
      </c>
    </row>
    <row r="4" spans="1:7" ht="11.25" customHeight="1" x14ac:dyDescent="0.2">
      <c r="A4" s="49" t="s">
        <v>39</v>
      </c>
      <c r="B4" s="45">
        <v>3537.648000000001</v>
      </c>
      <c r="C4" s="45">
        <v>1432.0519787999999</v>
      </c>
      <c r="D4" s="45">
        <v>3870.2618172929551</v>
      </c>
      <c r="E4" s="45">
        <v>1458.0143074029681</v>
      </c>
      <c r="F4" s="45">
        <v>4969.6999788000012</v>
      </c>
      <c r="G4" s="45">
        <v>5328.2761246959235</v>
      </c>
    </row>
    <row r="5" spans="1:7" ht="11.25" customHeight="1" x14ac:dyDescent="0.2">
      <c r="A5" s="50" t="s">
        <v>49</v>
      </c>
      <c r="B5" s="45">
        <v>3537.648000000001</v>
      </c>
      <c r="C5" s="45">
        <v>1432.0519787999999</v>
      </c>
      <c r="D5" s="45">
        <v>3870.2618172929551</v>
      </c>
      <c r="E5" s="45">
        <v>1458.0143074029681</v>
      </c>
      <c r="F5" s="45">
        <v>4969.6999788000012</v>
      </c>
      <c r="G5" s="45">
        <v>5328.2761246959235</v>
      </c>
    </row>
    <row r="6" spans="1:7" ht="11.25" customHeight="1" x14ac:dyDescent="0.2">
      <c r="A6" s="51" t="s">
        <v>50</v>
      </c>
      <c r="B6" s="45">
        <v>3537.648000000001</v>
      </c>
      <c r="C6" s="45">
        <v>1432.0519787999999</v>
      </c>
      <c r="D6" s="45">
        <v>3870.2618172929551</v>
      </c>
      <c r="E6" s="45">
        <v>1458.0143074029681</v>
      </c>
      <c r="F6" s="45">
        <v>4969.6999788000012</v>
      </c>
      <c r="G6" s="45">
        <v>5328.2761246959235</v>
      </c>
    </row>
    <row r="7" spans="1:7" ht="11.25" customHeight="1" x14ac:dyDescent="0.2">
      <c r="A7" s="52" t="s">
        <v>25</v>
      </c>
      <c r="B7" s="45">
        <v>3537.648000000001</v>
      </c>
      <c r="C7" s="45">
        <v>1432.0519787999999</v>
      </c>
      <c r="D7" s="45">
        <v>3870.2618172929551</v>
      </c>
      <c r="E7" s="45">
        <v>1458.0143074029681</v>
      </c>
      <c r="F7" s="45">
        <v>4969.6999788000012</v>
      </c>
      <c r="G7" s="45">
        <v>5328.2761246959235</v>
      </c>
    </row>
    <row r="8" spans="1:7" ht="11.25" customHeight="1" x14ac:dyDescent="0.2">
      <c r="A8" s="53" t="s">
        <v>25</v>
      </c>
      <c r="B8" s="45">
        <v>3537.648000000001</v>
      </c>
      <c r="C8" s="45">
        <v>1432.0519787999999</v>
      </c>
      <c r="D8" s="45">
        <v>3870.2618172929551</v>
      </c>
      <c r="E8" s="45">
        <v>1458.0143074029681</v>
      </c>
      <c r="F8" s="45">
        <v>4969.6999788000012</v>
      </c>
      <c r="G8" s="45">
        <v>5328.2761246959235</v>
      </c>
    </row>
    <row r="9" spans="1:7" ht="11.25" customHeight="1" x14ac:dyDescent="0.2">
      <c r="A9" s="54" t="s">
        <v>38</v>
      </c>
      <c r="B9" s="45">
        <v>0</v>
      </c>
      <c r="C9" s="45">
        <v>484.24029599999989</v>
      </c>
      <c r="D9" s="45">
        <v>0</v>
      </c>
      <c r="E9" s="45">
        <v>531.36855492273571</v>
      </c>
      <c r="F9" s="45">
        <v>484.24029599999989</v>
      </c>
      <c r="G9" s="45">
        <v>531.36855492273571</v>
      </c>
    </row>
    <row r="10" spans="1:7" ht="11.25" customHeight="1" x14ac:dyDescent="0.2">
      <c r="A10" s="55">
        <v>44501</v>
      </c>
      <c r="B10" s="45">
        <v>0</v>
      </c>
      <c r="C10" s="45">
        <v>42.654600000000023</v>
      </c>
      <c r="D10" s="45">
        <v>0</v>
      </c>
      <c r="E10" s="45">
        <v>46.805921254449558</v>
      </c>
      <c r="F10" s="45">
        <v>42.654600000000023</v>
      </c>
      <c r="G10" s="45">
        <v>46.805921254449558</v>
      </c>
    </row>
    <row r="11" spans="1:7" ht="11.25" customHeight="1" x14ac:dyDescent="0.2">
      <c r="A11" s="55">
        <v>44531</v>
      </c>
      <c r="B11" s="45">
        <v>0</v>
      </c>
      <c r="C11" s="45">
        <v>29.44747200000003</v>
      </c>
      <c r="D11" s="45">
        <v>0</v>
      </c>
      <c r="E11" s="45">
        <v>32.313421191960742</v>
      </c>
      <c r="F11" s="45">
        <v>29.44747200000003</v>
      </c>
      <c r="G11" s="45">
        <v>32.313421191960742</v>
      </c>
    </row>
    <row r="12" spans="1:7" ht="11.25" customHeight="1" x14ac:dyDescent="0.2">
      <c r="A12" s="55">
        <v>44562</v>
      </c>
      <c r="B12" s="45">
        <v>0</v>
      </c>
      <c r="C12" s="45">
        <v>31.621276799999958</v>
      </c>
      <c r="D12" s="45">
        <v>0</v>
      </c>
      <c r="E12" s="45">
        <v>34.698789623298538</v>
      </c>
      <c r="F12" s="45">
        <v>31.621276799999958</v>
      </c>
      <c r="G12" s="45">
        <v>34.698789623298538</v>
      </c>
    </row>
    <row r="13" spans="1:7" ht="11.25" customHeight="1" x14ac:dyDescent="0.2">
      <c r="A13" s="55">
        <v>44593</v>
      </c>
      <c r="B13" s="45">
        <v>0</v>
      </c>
      <c r="C13" s="45">
        <v>30.534374399999948</v>
      </c>
      <c r="D13" s="45">
        <v>0</v>
      </c>
      <c r="E13" s="45">
        <v>33.50610540762959</v>
      </c>
      <c r="F13" s="45">
        <v>30.534374399999948</v>
      </c>
      <c r="G13" s="45">
        <v>33.50610540762959</v>
      </c>
    </row>
    <row r="14" spans="1:7" ht="11.25" customHeight="1" x14ac:dyDescent="0.2">
      <c r="A14" s="55">
        <v>44621</v>
      </c>
      <c r="B14" s="45">
        <v>0</v>
      </c>
      <c r="C14" s="45">
        <v>28.069886399999987</v>
      </c>
      <c r="D14" s="45">
        <v>0</v>
      </c>
      <c r="E14" s="45">
        <v>30.801763290705882</v>
      </c>
      <c r="F14" s="45">
        <v>28.069886399999987</v>
      </c>
      <c r="G14" s="45">
        <v>30.801763290705882</v>
      </c>
    </row>
    <row r="15" spans="1:7" ht="11.25" customHeight="1" x14ac:dyDescent="0.2">
      <c r="A15" s="55">
        <v>44652</v>
      </c>
      <c r="B15" s="45">
        <v>0</v>
      </c>
      <c r="C15" s="45">
        <v>59.236180800000049</v>
      </c>
      <c r="D15" s="45">
        <v>0</v>
      </c>
      <c r="E15" s="45">
        <v>65.001289753957082</v>
      </c>
      <c r="F15" s="45">
        <v>59.236180800000049</v>
      </c>
      <c r="G15" s="45">
        <v>65.001289753957082</v>
      </c>
    </row>
    <row r="16" spans="1:7" ht="11.25" customHeight="1" x14ac:dyDescent="0.2">
      <c r="A16" s="55">
        <v>44682</v>
      </c>
      <c r="B16" s="45">
        <v>0</v>
      </c>
      <c r="C16" s="45">
        <v>62.610633599999893</v>
      </c>
      <c r="D16" s="45">
        <v>0</v>
      </c>
      <c r="E16" s="45">
        <v>68.704158190975576</v>
      </c>
      <c r="F16" s="45">
        <v>62.610633599999893</v>
      </c>
      <c r="G16" s="45">
        <v>68.704158190975576</v>
      </c>
    </row>
    <row r="17" spans="1:7" ht="11.25" customHeight="1" x14ac:dyDescent="0.2">
      <c r="A17" s="55">
        <v>44713</v>
      </c>
      <c r="B17" s="45">
        <v>0</v>
      </c>
      <c r="C17" s="45">
        <v>68.045145600000126</v>
      </c>
      <c r="D17" s="45">
        <v>0</v>
      </c>
      <c r="E17" s="45">
        <v>74.667579269320527</v>
      </c>
      <c r="F17" s="45">
        <v>68.045145600000126</v>
      </c>
      <c r="G17" s="45">
        <v>74.667579269320527</v>
      </c>
    </row>
    <row r="18" spans="1:7" ht="11.25" customHeight="1" x14ac:dyDescent="0.2">
      <c r="A18" s="55">
        <v>44743</v>
      </c>
      <c r="B18" s="45">
        <v>0</v>
      </c>
      <c r="C18" s="45">
        <v>66.010363199999901</v>
      </c>
      <c r="D18" s="45">
        <v>0</v>
      </c>
      <c r="E18" s="45">
        <v>72.434763470219124</v>
      </c>
      <c r="F18" s="45">
        <v>66.010363199999901</v>
      </c>
      <c r="G18" s="45">
        <v>72.434763470219124</v>
      </c>
    </row>
    <row r="19" spans="1:7" ht="11.25" customHeight="1" x14ac:dyDescent="0.2">
      <c r="A19" s="55">
        <v>44774</v>
      </c>
      <c r="B19" s="45">
        <v>0</v>
      </c>
      <c r="C19" s="45">
        <v>66.010363199999901</v>
      </c>
      <c r="D19" s="45">
        <v>0</v>
      </c>
      <c r="E19" s="45">
        <v>72.434763470219124</v>
      </c>
      <c r="F19" s="45">
        <v>66.010363199999901</v>
      </c>
      <c r="G19" s="45">
        <v>72.434763470219124</v>
      </c>
    </row>
    <row r="20" spans="1:7" ht="11.25" customHeight="1" x14ac:dyDescent="0.2">
      <c r="A20" s="54" t="s">
        <v>25</v>
      </c>
      <c r="B20" s="45">
        <v>3537.648000000001</v>
      </c>
      <c r="C20" s="45">
        <v>0</v>
      </c>
      <c r="D20" s="45">
        <v>3870.2618172929551</v>
      </c>
      <c r="E20" s="45">
        <v>0</v>
      </c>
      <c r="F20" s="45">
        <v>3537.648000000001</v>
      </c>
      <c r="G20" s="45">
        <v>3870.2618172929551</v>
      </c>
    </row>
    <row r="21" spans="1:7" ht="11.25" customHeight="1" x14ac:dyDescent="0.2">
      <c r="A21" s="55">
        <v>44501</v>
      </c>
      <c r="B21" s="45">
        <v>155.16</v>
      </c>
      <c r="C21" s="45">
        <v>0</v>
      </c>
      <c r="D21" s="45">
        <v>169.74832531986641</v>
      </c>
      <c r="E21" s="45">
        <v>0</v>
      </c>
      <c r="F21" s="45">
        <v>155.16</v>
      </c>
      <c r="G21" s="45">
        <v>169.74832531986641</v>
      </c>
    </row>
    <row r="22" spans="1:7" ht="11.25" customHeight="1" x14ac:dyDescent="0.2">
      <c r="A22" s="55">
        <v>44531</v>
      </c>
      <c r="B22" s="45">
        <v>155.16</v>
      </c>
      <c r="C22" s="45">
        <v>0</v>
      </c>
      <c r="D22" s="45">
        <v>169.74832531986641</v>
      </c>
      <c r="E22" s="45">
        <v>0</v>
      </c>
      <c r="F22" s="45">
        <v>155.16</v>
      </c>
      <c r="G22" s="45">
        <v>169.74832531986641</v>
      </c>
    </row>
    <row r="23" spans="1:7" ht="11.25" customHeight="1" x14ac:dyDescent="0.2">
      <c r="A23" s="55">
        <v>44562</v>
      </c>
      <c r="B23" s="45">
        <v>403.41600000000005</v>
      </c>
      <c r="C23" s="45">
        <v>0</v>
      </c>
      <c r="D23" s="45">
        <v>441.3456458316528</v>
      </c>
      <c r="E23" s="45">
        <v>0</v>
      </c>
      <c r="F23" s="45">
        <v>403.41600000000005</v>
      </c>
      <c r="G23" s="45">
        <v>441.3456458316528</v>
      </c>
    </row>
    <row r="24" spans="1:7" ht="11.25" customHeight="1" x14ac:dyDescent="0.2">
      <c r="A24" s="55">
        <v>44593</v>
      </c>
      <c r="B24" s="45">
        <v>403.41600000000005</v>
      </c>
      <c r="C24" s="45">
        <v>0</v>
      </c>
      <c r="D24" s="45">
        <v>441.3456458316528</v>
      </c>
      <c r="E24" s="45">
        <v>0</v>
      </c>
      <c r="F24" s="45">
        <v>403.41600000000005</v>
      </c>
      <c r="G24" s="45">
        <v>441.3456458316528</v>
      </c>
    </row>
    <row r="25" spans="1:7" ht="11.25" customHeight="1" x14ac:dyDescent="0.2">
      <c r="A25" s="55">
        <v>44621</v>
      </c>
      <c r="B25" s="45">
        <v>403.41600000000005</v>
      </c>
      <c r="C25" s="45">
        <v>0</v>
      </c>
      <c r="D25" s="45">
        <v>441.3456458316528</v>
      </c>
      <c r="E25" s="45">
        <v>0</v>
      </c>
      <c r="F25" s="45">
        <v>403.41600000000005</v>
      </c>
      <c r="G25" s="45">
        <v>441.3456458316528</v>
      </c>
    </row>
    <row r="26" spans="1:7" ht="11.25" customHeight="1" x14ac:dyDescent="0.2">
      <c r="A26" s="55">
        <v>44652</v>
      </c>
      <c r="B26" s="45">
        <v>403.41600000000005</v>
      </c>
      <c r="C26" s="45">
        <v>0</v>
      </c>
      <c r="D26" s="45">
        <v>441.3456458316528</v>
      </c>
      <c r="E26" s="45">
        <v>0</v>
      </c>
      <c r="F26" s="45">
        <v>403.41600000000005</v>
      </c>
      <c r="G26" s="45">
        <v>441.3456458316528</v>
      </c>
    </row>
    <row r="27" spans="1:7" ht="11.25" customHeight="1" x14ac:dyDescent="0.2">
      <c r="A27" s="55">
        <v>44682</v>
      </c>
      <c r="B27" s="45">
        <v>403.41600000000005</v>
      </c>
      <c r="C27" s="45">
        <v>0</v>
      </c>
      <c r="D27" s="45">
        <v>441.3456458316528</v>
      </c>
      <c r="E27" s="45">
        <v>0</v>
      </c>
      <c r="F27" s="45">
        <v>403.41600000000005</v>
      </c>
      <c r="G27" s="45">
        <v>441.3456458316528</v>
      </c>
    </row>
    <row r="28" spans="1:7" ht="11.25" customHeight="1" x14ac:dyDescent="0.2">
      <c r="A28" s="55">
        <v>44713</v>
      </c>
      <c r="B28" s="45">
        <v>403.41600000000005</v>
      </c>
      <c r="C28" s="45">
        <v>0</v>
      </c>
      <c r="D28" s="45">
        <v>441.3456458316528</v>
      </c>
      <c r="E28" s="45">
        <v>0</v>
      </c>
      <c r="F28" s="45">
        <v>403.41600000000005</v>
      </c>
      <c r="G28" s="45">
        <v>441.3456458316528</v>
      </c>
    </row>
    <row r="29" spans="1:7" ht="11.25" customHeight="1" x14ac:dyDescent="0.2">
      <c r="A29" s="55">
        <v>44743</v>
      </c>
      <c r="B29" s="45">
        <v>403.41600000000005</v>
      </c>
      <c r="C29" s="45">
        <v>0</v>
      </c>
      <c r="D29" s="45">
        <v>441.3456458316528</v>
      </c>
      <c r="E29" s="45">
        <v>0</v>
      </c>
      <c r="F29" s="45">
        <v>403.41600000000005</v>
      </c>
      <c r="G29" s="45">
        <v>441.3456458316528</v>
      </c>
    </row>
    <row r="30" spans="1:7" ht="11.25" customHeight="1" x14ac:dyDescent="0.2">
      <c r="A30" s="55">
        <v>44774</v>
      </c>
      <c r="B30" s="45">
        <v>403.41600000000005</v>
      </c>
      <c r="C30" s="45">
        <v>0</v>
      </c>
      <c r="D30" s="45">
        <v>441.3456458316528</v>
      </c>
      <c r="E30" s="45">
        <v>0</v>
      </c>
      <c r="F30" s="45">
        <v>403.41600000000005</v>
      </c>
      <c r="G30" s="45">
        <v>441.3456458316528</v>
      </c>
    </row>
    <row r="31" spans="1:7" ht="11.25" customHeight="1" x14ac:dyDescent="0.2">
      <c r="A31" s="54" t="s">
        <v>37</v>
      </c>
      <c r="B31" s="45">
        <v>0</v>
      </c>
      <c r="C31" s="45">
        <v>947.81168279999997</v>
      </c>
      <c r="D31" s="45">
        <v>0</v>
      </c>
      <c r="E31" s="45">
        <v>926.64575248023277</v>
      </c>
      <c r="F31" s="45">
        <v>947.81168279999997</v>
      </c>
      <c r="G31" s="45">
        <v>926.64575248023277</v>
      </c>
    </row>
    <row r="32" spans="1:7" ht="11.25" customHeight="1" x14ac:dyDescent="0.2">
      <c r="A32" s="55">
        <v>44501</v>
      </c>
      <c r="B32" s="45">
        <v>0</v>
      </c>
      <c r="C32" s="45">
        <v>97.172319599999895</v>
      </c>
      <c r="D32" s="45">
        <v>0</v>
      </c>
      <c r="E32" s="45">
        <v>95.002328890887924</v>
      </c>
      <c r="F32" s="45">
        <v>97.172319599999895</v>
      </c>
      <c r="G32" s="45">
        <v>95.002328890887924</v>
      </c>
    </row>
    <row r="33" spans="1:7" ht="11.25" customHeight="1" x14ac:dyDescent="0.2">
      <c r="A33" s="55">
        <v>44531</v>
      </c>
      <c r="B33" s="45">
        <v>0</v>
      </c>
      <c r="C33" s="45">
        <v>68.5124208000001</v>
      </c>
      <c r="D33" s="45">
        <v>0</v>
      </c>
      <c r="E33" s="45">
        <v>66.982444802650662</v>
      </c>
      <c r="F33" s="45">
        <v>68.5124208000001</v>
      </c>
      <c r="G33" s="45">
        <v>66.982444802650662</v>
      </c>
    </row>
    <row r="34" spans="1:7" ht="11.25" customHeight="1" x14ac:dyDescent="0.2">
      <c r="A34" s="55">
        <v>44562</v>
      </c>
      <c r="B34" s="45">
        <v>0</v>
      </c>
      <c r="C34" s="45">
        <v>81.570481199999989</v>
      </c>
      <c r="D34" s="45">
        <v>0</v>
      </c>
      <c r="E34" s="45">
        <v>79.74890086652205</v>
      </c>
      <c r="F34" s="45">
        <v>81.570481199999989</v>
      </c>
      <c r="G34" s="45">
        <v>79.74890086652205</v>
      </c>
    </row>
    <row r="35" spans="1:7" ht="11.25" customHeight="1" x14ac:dyDescent="0.2">
      <c r="A35" s="55">
        <v>44593</v>
      </c>
      <c r="B35" s="45">
        <v>0</v>
      </c>
      <c r="C35" s="45">
        <v>72.412880399999935</v>
      </c>
      <c r="D35" s="45">
        <v>0</v>
      </c>
      <c r="E35" s="45">
        <v>70.79580180874197</v>
      </c>
      <c r="F35" s="45">
        <v>72.412880399999935</v>
      </c>
      <c r="G35" s="45">
        <v>70.79580180874197</v>
      </c>
    </row>
    <row r="36" spans="1:7" ht="11.25" customHeight="1" x14ac:dyDescent="0.2">
      <c r="A36" s="55">
        <v>44621</v>
      </c>
      <c r="B36" s="45">
        <v>0</v>
      </c>
      <c r="C36" s="45">
        <v>68.5124208000001</v>
      </c>
      <c r="D36" s="45">
        <v>0</v>
      </c>
      <c r="E36" s="45">
        <v>66.982444802650662</v>
      </c>
      <c r="F36" s="45">
        <v>68.5124208000001</v>
      </c>
      <c r="G36" s="45">
        <v>66.982444802650662</v>
      </c>
    </row>
    <row r="37" spans="1:7" ht="11.25" customHeight="1" x14ac:dyDescent="0.2">
      <c r="A37" s="55">
        <v>44652</v>
      </c>
      <c r="B37" s="45">
        <v>0</v>
      </c>
      <c r="C37" s="45">
        <v>116.16586200000006</v>
      </c>
      <c r="D37" s="45">
        <v>0</v>
      </c>
      <c r="E37" s="45">
        <v>113.57171952924666</v>
      </c>
      <c r="F37" s="45">
        <v>116.16586200000006</v>
      </c>
      <c r="G37" s="45">
        <v>113.57171952924666</v>
      </c>
    </row>
    <row r="38" spans="1:7" ht="11.25" customHeight="1" x14ac:dyDescent="0.2">
      <c r="A38" s="55">
        <v>44682</v>
      </c>
      <c r="B38" s="45">
        <v>0</v>
      </c>
      <c r="C38" s="45">
        <v>101.75112000000009</v>
      </c>
      <c r="D38" s="45">
        <v>0</v>
      </c>
      <c r="E38" s="45">
        <v>99.478878419778127</v>
      </c>
      <c r="F38" s="45">
        <v>101.75112000000009</v>
      </c>
      <c r="G38" s="45">
        <v>99.478878419778127</v>
      </c>
    </row>
    <row r="39" spans="1:7" ht="11.25" customHeight="1" x14ac:dyDescent="0.2">
      <c r="A39" s="55">
        <v>44713</v>
      </c>
      <c r="B39" s="45">
        <v>0</v>
      </c>
      <c r="C39" s="45">
        <v>118.20088439999989</v>
      </c>
      <c r="D39" s="45">
        <v>0</v>
      </c>
      <c r="E39" s="45">
        <v>115.56129709764205</v>
      </c>
      <c r="F39" s="45">
        <v>118.20088439999989</v>
      </c>
      <c r="G39" s="45">
        <v>115.56129709764205</v>
      </c>
    </row>
    <row r="40" spans="1:7" ht="11.25" customHeight="1" x14ac:dyDescent="0.2">
      <c r="A40" s="55">
        <v>44743</v>
      </c>
      <c r="B40" s="45">
        <v>0</v>
      </c>
      <c r="C40" s="45">
        <v>111.75664680000004</v>
      </c>
      <c r="D40" s="45">
        <v>0</v>
      </c>
      <c r="E40" s="45">
        <v>109.26096813105627</v>
      </c>
      <c r="F40" s="45">
        <v>111.75664680000004</v>
      </c>
      <c r="G40" s="45">
        <v>109.26096813105627</v>
      </c>
    </row>
    <row r="41" spans="1:7" ht="11.25" customHeight="1" x14ac:dyDescent="0.2">
      <c r="A41" s="55">
        <v>44774</v>
      </c>
      <c r="B41" s="45">
        <v>0</v>
      </c>
      <c r="C41" s="45">
        <v>111.75664680000004</v>
      </c>
      <c r="D41" s="45">
        <v>0</v>
      </c>
      <c r="E41" s="45">
        <v>109.26096813105627</v>
      </c>
      <c r="F41" s="45">
        <v>111.75664680000004</v>
      </c>
      <c r="G41" s="45">
        <v>109.26096813105627</v>
      </c>
    </row>
    <row r="42" spans="1:7" ht="11.25" customHeight="1" x14ac:dyDescent="0.2">
      <c r="A42" s="48" t="s">
        <v>33</v>
      </c>
      <c r="B42" s="45">
        <v>0</v>
      </c>
      <c r="C42" s="45">
        <v>9471.2029932000041</v>
      </c>
      <c r="D42" s="45">
        <v>0</v>
      </c>
      <c r="E42" s="45">
        <v>10562.503367182569</v>
      </c>
      <c r="F42" s="45">
        <v>9471.2029932000041</v>
      </c>
      <c r="G42" s="45">
        <v>10562.503367182569</v>
      </c>
    </row>
    <row r="43" spans="1:7" ht="11.25" customHeight="1" x14ac:dyDescent="0.2">
      <c r="A43" s="49" t="s">
        <v>23</v>
      </c>
      <c r="B43" s="45">
        <v>0</v>
      </c>
      <c r="C43" s="45">
        <v>9471.2029932000041</v>
      </c>
      <c r="D43" s="45">
        <v>0</v>
      </c>
      <c r="E43" s="45">
        <v>10562.503367182569</v>
      </c>
      <c r="F43" s="45">
        <v>9471.2029932000041</v>
      </c>
      <c r="G43" s="45">
        <v>10562.503367182569</v>
      </c>
    </row>
    <row r="44" spans="1:7" ht="11.25" customHeight="1" x14ac:dyDescent="0.2">
      <c r="A44" s="50" t="s">
        <v>49</v>
      </c>
      <c r="B44" s="45">
        <v>0</v>
      </c>
      <c r="C44" s="45">
        <v>9471.2029932000041</v>
      </c>
      <c r="D44" s="45">
        <v>0</v>
      </c>
      <c r="E44" s="45">
        <v>10562.503367182569</v>
      </c>
      <c r="F44" s="45">
        <v>9471.2029932000041</v>
      </c>
      <c r="G44" s="45">
        <v>10562.503367182569</v>
      </c>
    </row>
    <row r="45" spans="1:7" ht="11.25" customHeight="1" x14ac:dyDescent="0.2">
      <c r="A45" s="51" t="s">
        <v>50</v>
      </c>
      <c r="B45" s="45">
        <v>0</v>
      </c>
      <c r="C45" s="45">
        <v>9471.2029932000041</v>
      </c>
      <c r="D45" s="45">
        <v>0</v>
      </c>
      <c r="E45" s="45">
        <v>10562.503367182569</v>
      </c>
      <c r="F45" s="45">
        <v>9471.2029932000041</v>
      </c>
      <c r="G45" s="45">
        <v>10562.503367182569</v>
      </c>
    </row>
    <row r="46" spans="1:7" ht="11.25" customHeight="1" x14ac:dyDescent="0.2">
      <c r="A46" s="52" t="s">
        <v>25</v>
      </c>
      <c r="B46" s="45">
        <v>0</v>
      </c>
      <c r="C46" s="45">
        <v>9471.2029932000041</v>
      </c>
      <c r="D46" s="45">
        <v>0</v>
      </c>
      <c r="E46" s="45">
        <v>10562.503367182569</v>
      </c>
      <c r="F46" s="45">
        <v>9471.2029932000041</v>
      </c>
      <c r="G46" s="45">
        <v>10562.503367182569</v>
      </c>
    </row>
    <row r="47" spans="1:7" ht="11.25" customHeight="1" x14ac:dyDescent="0.2">
      <c r="A47" s="53" t="s">
        <v>25</v>
      </c>
      <c r="B47" s="45">
        <v>0</v>
      </c>
      <c r="C47" s="45">
        <v>9471.2029932000041</v>
      </c>
      <c r="D47" s="45">
        <v>0</v>
      </c>
      <c r="E47" s="45">
        <v>10562.503367182569</v>
      </c>
      <c r="F47" s="45">
        <v>9471.2029932000041</v>
      </c>
      <c r="G47" s="45">
        <v>10562.503367182569</v>
      </c>
    </row>
    <row r="48" spans="1:7" ht="11.25" customHeight="1" x14ac:dyDescent="0.2">
      <c r="A48" s="54" t="s">
        <v>25</v>
      </c>
      <c r="B48" s="45">
        <v>0</v>
      </c>
      <c r="C48" s="45">
        <v>9471.2029932000041</v>
      </c>
      <c r="D48" s="45">
        <v>0</v>
      </c>
      <c r="E48" s="45">
        <v>10562.503367182569</v>
      </c>
      <c r="F48" s="45">
        <v>9471.2029932000041</v>
      </c>
      <c r="G48" s="45">
        <v>10562.503367182569</v>
      </c>
    </row>
    <row r="49" spans="1:7" ht="11.25" customHeight="1" x14ac:dyDescent="0.2">
      <c r="A49" s="55">
        <v>44440</v>
      </c>
      <c r="B49" s="45">
        <v>0</v>
      </c>
      <c r="C49" s="45">
        <v>671.53986120000059</v>
      </c>
      <c r="D49" s="45">
        <v>0</v>
      </c>
      <c r="E49" s="45">
        <v>748.91669518802962</v>
      </c>
      <c r="F49" s="45">
        <v>671.53986120000059</v>
      </c>
      <c r="G49" s="45">
        <v>748.91669518802962</v>
      </c>
    </row>
    <row r="50" spans="1:7" ht="11.25" customHeight="1" x14ac:dyDescent="0.2">
      <c r="A50" s="55">
        <v>44470</v>
      </c>
      <c r="B50" s="45">
        <v>0</v>
      </c>
      <c r="C50" s="45">
        <v>657.4231728000002</v>
      </c>
      <c r="D50" s="45">
        <v>0</v>
      </c>
      <c r="E50" s="45">
        <v>733.17343967280885</v>
      </c>
      <c r="F50" s="45">
        <v>657.4231728000002</v>
      </c>
      <c r="G50" s="45">
        <v>733.17343967280885</v>
      </c>
    </row>
    <row r="51" spans="1:7" ht="11.25" customHeight="1" x14ac:dyDescent="0.2">
      <c r="A51" s="55">
        <v>44501</v>
      </c>
      <c r="B51" s="45">
        <v>0</v>
      </c>
      <c r="C51" s="45">
        <v>706.1081508000002</v>
      </c>
      <c r="D51" s="45">
        <v>0</v>
      </c>
      <c r="E51" s="45">
        <v>787.46804664358251</v>
      </c>
      <c r="F51" s="45">
        <v>706.1081508000002</v>
      </c>
      <c r="G51" s="45">
        <v>787.46804664358251</v>
      </c>
    </row>
    <row r="52" spans="1:7" ht="11.25" customHeight="1" x14ac:dyDescent="0.2">
      <c r="A52" s="55">
        <v>44531</v>
      </c>
      <c r="B52" s="45">
        <v>0</v>
      </c>
      <c r="C52" s="45">
        <v>715.68872879999867</v>
      </c>
      <c r="D52" s="45">
        <v>0</v>
      </c>
      <c r="E52" s="45">
        <v>798.15252753341179</v>
      </c>
      <c r="F52" s="45">
        <v>715.68872879999867</v>
      </c>
      <c r="G52" s="45">
        <v>798.15252753341179</v>
      </c>
    </row>
    <row r="53" spans="1:7" ht="11.25" customHeight="1" x14ac:dyDescent="0.2">
      <c r="A53" s="55">
        <v>44562</v>
      </c>
      <c r="B53" s="45">
        <v>0</v>
      </c>
      <c r="C53" s="45">
        <v>831.82879679999894</v>
      </c>
      <c r="D53" s="45">
        <v>0</v>
      </c>
      <c r="E53" s="45">
        <v>927.67460199381185</v>
      </c>
      <c r="F53" s="45">
        <v>831.82879679999894</v>
      </c>
      <c r="G53" s="45">
        <v>927.67460199381185</v>
      </c>
    </row>
    <row r="54" spans="1:7" ht="11.25" customHeight="1" x14ac:dyDescent="0.2">
      <c r="A54" s="55">
        <v>44593</v>
      </c>
      <c r="B54" s="45">
        <v>0</v>
      </c>
      <c r="C54" s="45">
        <v>963.49331159999952</v>
      </c>
      <c r="D54" s="45">
        <v>0</v>
      </c>
      <c r="E54" s="45">
        <v>1074.5098965083466</v>
      </c>
      <c r="F54" s="45">
        <v>963.49331159999952</v>
      </c>
      <c r="G54" s="45">
        <v>1074.5098965083466</v>
      </c>
    </row>
    <row r="55" spans="1:7" ht="11.25" customHeight="1" x14ac:dyDescent="0.2">
      <c r="A55" s="55">
        <v>44621</v>
      </c>
      <c r="B55" s="45">
        <v>0</v>
      </c>
      <c r="C55" s="45">
        <v>862.95589920000145</v>
      </c>
      <c r="D55" s="45">
        <v>0</v>
      </c>
      <c r="E55" s="45">
        <v>962.38826235424506</v>
      </c>
      <c r="F55" s="45">
        <v>862.95589920000145</v>
      </c>
      <c r="G55" s="45">
        <v>962.38826235424506</v>
      </c>
    </row>
    <row r="56" spans="1:7" ht="11.25" customHeight="1" x14ac:dyDescent="0.2">
      <c r="A56" s="55">
        <v>44652</v>
      </c>
      <c r="B56" s="45">
        <v>0</v>
      </c>
      <c r="C56" s="45">
        <v>814.97480040000028</v>
      </c>
      <c r="D56" s="45">
        <v>0</v>
      </c>
      <c r="E56" s="45">
        <v>908.87863765292707</v>
      </c>
      <c r="F56" s="45">
        <v>814.97480040000028</v>
      </c>
      <c r="G56" s="45">
        <v>908.87863765292707</v>
      </c>
    </row>
    <row r="57" spans="1:7" ht="11.25" customHeight="1" x14ac:dyDescent="0.2">
      <c r="A57" s="55">
        <v>44682</v>
      </c>
      <c r="B57" s="45">
        <v>0</v>
      </c>
      <c r="C57" s="45">
        <v>774.03249360000109</v>
      </c>
      <c r="D57" s="45">
        <v>0</v>
      </c>
      <c r="E57" s="45">
        <v>863.21883564618111</v>
      </c>
      <c r="F57" s="45">
        <v>774.03249360000109</v>
      </c>
      <c r="G57" s="45">
        <v>863.21883564618111</v>
      </c>
    </row>
    <row r="58" spans="1:7" ht="11.25" customHeight="1" x14ac:dyDescent="0.2">
      <c r="A58" s="55">
        <v>44713</v>
      </c>
      <c r="B58" s="45">
        <v>0</v>
      </c>
      <c r="C58" s="45">
        <v>839.53236360000142</v>
      </c>
      <c r="D58" s="45">
        <v>0</v>
      </c>
      <c r="E58" s="45">
        <v>936.26579683176033</v>
      </c>
      <c r="F58" s="45">
        <v>839.53236360000142</v>
      </c>
      <c r="G58" s="45">
        <v>936.26579683176033</v>
      </c>
    </row>
    <row r="59" spans="1:7" ht="11.25" customHeight="1" x14ac:dyDescent="0.2">
      <c r="A59" s="55">
        <v>44743</v>
      </c>
      <c r="B59" s="45">
        <v>0</v>
      </c>
      <c r="C59" s="45">
        <v>816.8127072000002</v>
      </c>
      <c r="D59" s="45">
        <v>0</v>
      </c>
      <c r="E59" s="45">
        <v>910.92831357873115</v>
      </c>
      <c r="F59" s="45">
        <v>816.8127072000002</v>
      </c>
      <c r="G59" s="45">
        <v>910.92831357873115</v>
      </c>
    </row>
    <row r="60" spans="1:7" ht="11.25" customHeight="1" x14ac:dyDescent="0.2">
      <c r="A60" s="55">
        <v>44774</v>
      </c>
      <c r="B60" s="45">
        <v>0</v>
      </c>
      <c r="C60" s="45">
        <v>816.8127072000002</v>
      </c>
      <c r="D60" s="45">
        <v>0</v>
      </c>
      <c r="E60" s="45">
        <v>910.92831357873115</v>
      </c>
      <c r="F60" s="45">
        <v>816.8127072000002</v>
      </c>
      <c r="G60" s="45">
        <v>910.92831357873115</v>
      </c>
    </row>
    <row r="61" spans="1:7" ht="11.25" customHeight="1" x14ac:dyDescent="0.2">
      <c r="A61" s="47" t="s">
        <v>649</v>
      </c>
      <c r="B61" s="45">
        <v>0</v>
      </c>
      <c r="C61" s="45">
        <v>202342.17524999997</v>
      </c>
      <c r="D61" s="45">
        <v>0</v>
      </c>
      <c r="E61" s="45">
        <v>213684.93197696874</v>
      </c>
      <c r="F61" s="45">
        <v>202342.17525000003</v>
      </c>
      <c r="G61" s="45">
        <v>213684.93197696874</v>
      </c>
    </row>
    <row r="62" spans="1:7" ht="11.25" customHeight="1" x14ac:dyDescent="0.2">
      <c r="A62" s="48" t="s">
        <v>22</v>
      </c>
      <c r="B62" s="45">
        <v>0</v>
      </c>
      <c r="C62" s="45">
        <v>202342.17524999997</v>
      </c>
      <c r="D62" s="45">
        <v>0</v>
      </c>
      <c r="E62" s="45">
        <v>213684.93197696874</v>
      </c>
      <c r="F62" s="45">
        <v>202342.17525000003</v>
      </c>
      <c r="G62" s="45">
        <v>213684.93197696874</v>
      </c>
    </row>
    <row r="63" spans="1:7" ht="11.25" customHeight="1" x14ac:dyDescent="0.2">
      <c r="A63" s="49" t="s">
        <v>23</v>
      </c>
      <c r="B63" s="45">
        <v>0</v>
      </c>
      <c r="C63" s="45">
        <v>202342.17524999997</v>
      </c>
      <c r="D63" s="45">
        <v>0</v>
      </c>
      <c r="E63" s="45">
        <v>213684.93197696874</v>
      </c>
      <c r="F63" s="45">
        <v>202342.17525000003</v>
      </c>
      <c r="G63" s="45">
        <v>213684.93197696874</v>
      </c>
    </row>
    <row r="64" spans="1:7" ht="11.25" customHeight="1" x14ac:dyDescent="0.2">
      <c r="A64" s="50" t="s">
        <v>24</v>
      </c>
      <c r="B64" s="45">
        <v>0</v>
      </c>
      <c r="C64" s="45">
        <v>202342.17524999997</v>
      </c>
      <c r="D64" s="45">
        <v>0</v>
      </c>
      <c r="E64" s="45">
        <v>213684.93197696874</v>
      </c>
      <c r="F64" s="45">
        <v>202342.17525000003</v>
      </c>
      <c r="G64" s="45">
        <v>213684.93197696874</v>
      </c>
    </row>
    <row r="65" spans="1:7" ht="11.25" customHeight="1" x14ac:dyDescent="0.2">
      <c r="A65" s="51" t="s">
        <v>29</v>
      </c>
      <c r="B65" s="45">
        <v>0</v>
      </c>
      <c r="C65" s="45">
        <v>73738.641000000003</v>
      </c>
      <c r="D65" s="45">
        <v>0</v>
      </c>
      <c r="E65" s="45">
        <v>77870.63555230241</v>
      </c>
      <c r="F65" s="45">
        <v>73738.641000000018</v>
      </c>
      <c r="G65" s="45">
        <v>77870.63555230241</v>
      </c>
    </row>
    <row r="66" spans="1:7" ht="11.25" customHeight="1" x14ac:dyDescent="0.2">
      <c r="A66" s="52" t="s">
        <v>25</v>
      </c>
      <c r="B66" s="45">
        <v>0</v>
      </c>
      <c r="C66" s="45">
        <v>73738.641000000003</v>
      </c>
      <c r="D66" s="45">
        <v>0</v>
      </c>
      <c r="E66" s="45">
        <v>77870.63555230241</v>
      </c>
      <c r="F66" s="45">
        <v>73738.641000000018</v>
      </c>
      <c r="G66" s="45">
        <v>77870.63555230241</v>
      </c>
    </row>
    <row r="67" spans="1:7" ht="11.25" customHeight="1" x14ac:dyDescent="0.2">
      <c r="A67" s="53" t="s">
        <v>25</v>
      </c>
      <c r="B67" s="45">
        <v>0</v>
      </c>
      <c r="C67" s="45">
        <v>73738.641000000003</v>
      </c>
      <c r="D67" s="45">
        <v>0</v>
      </c>
      <c r="E67" s="45">
        <v>77870.63555230241</v>
      </c>
      <c r="F67" s="45">
        <v>73738.641000000018</v>
      </c>
      <c r="G67" s="45">
        <v>77870.63555230241</v>
      </c>
    </row>
    <row r="68" spans="1:7" ht="11.25" customHeight="1" x14ac:dyDescent="0.2">
      <c r="A68" s="54" t="s">
        <v>25</v>
      </c>
      <c r="B68" s="45">
        <v>0</v>
      </c>
      <c r="C68" s="45">
        <v>73738.641000000003</v>
      </c>
      <c r="D68" s="45">
        <v>0</v>
      </c>
      <c r="E68" s="45">
        <v>77870.63555230241</v>
      </c>
      <c r="F68" s="45">
        <v>73738.641000000018</v>
      </c>
      <c r="G68" s="45">
        <v>77870.63555230241</v>
      </c>
    </row>
    <row r="69" spans="1:7" ht="11.25" customHeight="1" x14ac:dyDescent="0.2">
      <c r="A69" s="55">
        <v>44440</v>
      </c>
      <c r="B69" s="45">
        <v>0</v>
      </c>
      <c r="C69" s="45">
        <v>5779.0349999999999</v>
      </c>
      <c r="D69" s="45">
        <v>0</v>
      </c>
      <c r="E69" s="45">
        <v>6102.8671294470951</v>
      </c>
      <c r="F69" s="45">
        <v>5779.0349999999999</v>
      </c>
      <c r="G69" s="45">
        <v>6102.8671294470951</v>
      </c>
    </row>
    <row r="70" spans="1:7" ht="11.25" customHeight="1" x14ac:dyDescent="0.2">
      <c r="A70" s="55">
        <v>44470</v>
      </c>
      <c r="B70" s="45">
        <v>0</v>
      </c>
      <c r="C70" s="45">
        <v>5905.92</v>
      </c>
      <c r="D70" s="45">
        <v>0</v>
      </c>
      <c r="E70" s="45">
        <v>6236.8622161215826</v>
      </c>
      <c r="F70" s="45">
        <v>5905.92</v>
      </c>
      <c r="G70" s="45">
        <v>6236.8622161215826</v>
      </c>
    </row>
    <row r="71" spans="1:7" ht="11.25" customHeight="1" x14ac:dyDescent="0.2">
      <c r="A71" s="55">
        <v>44501</v>
      </c>
      <c r="B71" s="45">
        <v>0</v>
      </c>
      <c r="C71" s="45">
        <v>5952.06</v>
      </c>
      <c r="D71" s="45">
        <v>0</v>
      </c>
      <c r="E71" s="45">
        <v>6285.5877021850329</v>
      </c>
      <c r="F71" s="45">
        <v>5952.06</v>
      </c>
      <c r="G71" s="45">
        <v>6285.5877021850329</v>
      </c>
    </row>
    <row r="72" spans="1:7" ht="11.25" customHeight="1" x14ac:dyDescent="0.2">
      <c r="A72" s="55">
        <v>44531</v>
      </c>
      <c r="B72" s="45">
        <v>0</v>
      </c>
      <c r="C72" s="45">
        <v>5993.5859999999993</v>
      </c>
      <c r="D72" s="45">
        <v>0</v>
      </c>
      <c r="E72" s="45">
        <v>6329.4406396421373</v>
      </c>
      <c r="F72" s="45">
        <v>5993.5859999999993</v>
      </c>
      <c r="G72" s="45">
        <v>6329.4406396421373</v>
      </c>
    </row>
    <row r="73" spans="1:7" ht="11.25" customHeight="1" x14ac:dyDescent="0.2">
      <c r="A73" s="55">
        <v>44562</v>
      </c>
      <c r="B73" s="45">
        <v>0</v>
      </c>
      <c r="C73" s="45">
        <v>5975.13</v>
      </c>
      <c r="D73" s="45">
        <v>0</v>
      </c>
      <c r="E73" s="45">
        <v>6309.9504452167566</v>
      </c>
      <c r="F73" s="45">
        <v>5975.13</v>
      </c>
      <c r="G73" s="45">
        <v>6309.9504452167566</v>
      </c>
    </row>
    <row r="74" spans="1:7" ht="11.25" customHeight="1" x14ac:dyDescent="0.2">
      <c r="A74" s="55">
        <v>44593</v>
      </c>
      <c r="B74" s="45">
        <v>0</v>
      </c>
      <c r="C74" s="45">
        <v>6044.34</v>
      </c>
      <c r="D74" s="45">
        <v>0</v>
      </c>
      <c r="E74" s="45">
        <v>6383.0386743119325</v>
      </c>
      <c r="F74" s="45">
        <v>6044.34</v>
      </c>
      <c r="G74" s="45">
        <v>6383.0386743119325</v>
      </c>
    </row>
    <row r="75" spans="1:7" ht="11.25" customHeight="1" x14ac:dyDescent="0.2">
      <c r="A75" s="55">
        <v>44621</v>
      </c>
      <c r="B75" s="45">
        <v>0</v>
      </c>
      <c r="C75" s="45">
        <v>6228.9</v>
      </c>
      <c r="D75" s="45">
        <v>0</v>
      </c>
      <c r="E75" s="45">
        <v>6577.9406185657317</v>
      </c>
      <c r="F75" s="45">
        <v>6228.9</v>
      </c>
      <c r="G75" s="45">
        <v>6577.9406185657317</v>
      </c>
    </row>
    <row r="76" spans="1:7" ht="11.25" customHeight="1" x14ac:dyDescent="0.2">
      <c r="A76" s="55">
        <v>44652</v>
      </c>
      <c r="B76" s="45">
        <v>0</v>
      </c>
      <c r="C76" s="45">
        <v>6424.9949999999999</v>
      </c>
      <c r="D76" s="45">
        <v>0</v>
      </c>
      <c r="E76" s="45">
        <v>6785.0239343353942</v>
      </c>
      <c r="F76" s="45">
        <v>6424.9949999999999</v>
      </c>
      <c r="G76" s="45">
        <v>6785.0239343353942</v>
      </c>
    </row>
    <row r="77" spans="1:7" ht="11.25" customHeight="1" x14ac:dyDescent="0.2">
      <c r="A77" s="55">
        <v>44682</v>
      </c>
      <c r="B77" s="45">
        <v>0</v>
      </c>
      <c r="C77" s="45">
        <v>7013.28</v>
      </c>
      <c r="D77" s="45">
        <v>0</v>
      </c>
      <c r="E77" s="45">
        <v>7406.2738816443789</v>
      </c>
      <c r="F77" s="45">
        <v>7013.28</v>
      </c>
      <c r="G77" s="45">
        <v>7406.2738816443789</v>
      </c>
    </row>
    <row r="78" spans="1:7" ht="11.25" customHeight="1" x14ac:dyDescent="0.2">
      <c r="A78" s="55">
        <v>44713</v>
      </c>
      <c r="B78" s="45">
        <v>0</v>
      </c>
      <c r="C78" s="45">
        <v>6078.9449999999997</v>
      </c>
      <c r="D78" s="45">
        <v>0</v>
      </c>
      <c r="E78" s="45">
        <v>6419.5827888595195</v>
      </c>
      <c r="F78" s="45">
        <v>6078.9449999999997</v>
      </c>
      <c r="G78" s="45">
        <v>6419.5827888595195</v>
      </c>
    </row>
    <row r="79" spans="1:7" ht="11.25" customHeight="1" x14ac:dyDescent="0.2">
      <c r="A79" s="55">
        <v>44743</v>
      </c>
      <c r="B79" s="45">
        <v>0</v>
      </c>
      <c r="C79" s="45">
        <v>6171.2249999999995</v>
      </c>
      <c r="D79" s="45">
        <v>0</v>
      </c>
      <c r="E79" s="45">
        <v>6517.0337609864191</v>
      </c>
      <c r="F79" s="45">
        <v>6171.2249999999995</v>
      </c>
      <c r="G79" s="45">
        <v>6517.0337609864191</v>
      </c>
    </row>
    <row r="80" spans="1:7" ht="11.25" customHeight="1" x14ac:dyDescent="0.2">
      <c r="A80" s="55">
        <v>44774</v>
      </c>
      <c r="B80" s="45">
        <v>0</v>
      </c>
      <c r="C80" s="45">
        <v>6171.2249999999995</v>
      </c>
      <c r="D80" s="45">
        <v>0</v>
      </c>
      <c r="E80" s="45">
        <v>6517.0337609864191</v>
      </c>
      <c r="F80" s="45">
        <v>6171.2249999999995</v>
      </c>
      <c r="G80" s="45">
        <v>6517.0337609864191</v>
      </c>
    </row>
    <row r="81" spans="1:7" ht="11.25" customHeight="1" x14ac:dyDescent="0.2">
      <c r="A81" s="51" t="s">
        <v>30</v>
      </c>
      <c r="B81" s="45">
        <v>0</v>
      </c>
      <c r="C81" s="45">
        <v>99800.914950000006</v>
      </c>
      <c r="D81" s="45">
        <v>0</v>
      </c>
      <c r="E81" s="45">
        <v>105395.72509811711</v>
      </c>
      <c r="F81" s="45">
        <v>99800.91495000002</v>
      </c>
      <c r="G81" s="45">
        <v>105395.72509811708</v>
      </c>
    </row>
    <row r="82" spans="1:7" ht="11.25" customHeight="1" x14ac:dyDescent="0.2">
      <c r="A82" s="52" t="s">
        <v>25</v>
      </c>
      <c r="B82" s="45">
        <v>0</v>
      </c>
      <c r="C82" s="45">
        <v>99800.914950000006</v>
      </c>
      <c r="D82" s="45">
        <v>0</v>
      </c>
      <c r="E82" s="45">
        <v>105395.72509811711</v>
      </c>
      <c r="F82" s="45">
        <v>99800.91495000002</v>
      </c>
      <c r="G82" s="45">
        <v>105395.72509811708</v>
      </c>
    </row>
    <row r="83" spans="1:7" ht="11.25" customHeight="1" x14ac:dyDescent="0.2">
      <c r="A83" s="53" t="s">
        <v>25</v>
      </c>
      <c r="B83" s="45">
        <v>0</v>
      </c>
      <c r="C83" s="45">
        <v>99800.914950000006</v>
      </c>
      <c r="D83" s="45">
        <v>0</v>
      </c>
      <c r="E83" s="45">
        <v>105395.72509811711</v>
      </c>
      <c r="F83" s="45">
        <v>99800.91495000002</v>
      </c>
      <c r="G83" s="45">
        <v>105395.72509811708</v>
      </c>
    </row>
    <row r="84" spans="1:7" ht="11.25" customHeight="1" x14ac:dyDescent="0.2">
      <c r="A84" s="54" t="s">
        <v>25</v>
      </c>
      <c r="B84" s="45">
        <v>0</v>
      </c>
      <c r="C84" s="45">
        <v>99800.914950000006</v>
      </c>
      <c r="D84" s="45">
        <v>0</v>
      </c>
      <c r="E84" s="45">
        <v>105395.72509811711</v>
      </c>
      <c r="F84" s="45">
        <v>99800.91495000002</v>
      </c>
      <c r="G84" s="45">
        <v>105395.72509811708</v>
      </c>
    </row>
    <row r="85" spans="1:7" ht="11.25" customHeight="1" x14ac:dyDescent="0.2">
      <c r="A85" s="55">
        <v>44440</v>
      </c>
      <c r="B85" s="45">
        <v>0</v>
      </c>
      <c r="C85" s="45">
        <v>7705.9144799999995</v>
      </c>
      <c r="D85" s="45">
        <v>0</v>
      </c>
      <c r="E85" s="45">
        <v>8137.9057954586424</v>
      </c>
      <c r="F85" s="45">
        <v>7705.9144799999995</v>
      </c>
      <c r="G85" s="45">
        <v>8137.9057954586424</v>
      </c>
    </row>
    <row r="86" spans="1:7" ht="11.25" customHeight="1" x14ac:dyDescent="0.2">
      <c r="A86" s="55">
        <v>44470</v>
      </c>
      <c r="B86" s="45">
        <v>0</v>
      </c>
      <c r="C86" s="45">
        <v>7937.5556699999988</v>
      </c>
      <c r="D86" s="45">
        <v>0</v>
      </c>
      <c r="E86" s="45">
        <v>8382.532722925911</v>
      </c>
      <c r="F86" s="45">
        <v>7937.5556699999988</v>
      </c>
      <c r="G86" s="45">
        <v>8382.532722925911</v>
      </c>
    </row>
    <row r="87" spans="1:7" ht="11.25" customHeight="1" x14ac:dyDescent="0.2">
      <c r="A87" s="55">
        <v>44501</v>
      </c>
      <c r="B87" s="45">
        <v>0</v>
      </c>
      <c r="C87" s="45">
        <v>8062.01253</v>
      </c>
      <c r="D87" s="45">
        <v>0</v>
      </c>
      <c r="E87" s="45">
        <v>8513.9665981534745</v>
      </c>
      <c r="F87" s="45">
        <v>8062.01253</v>
      </c>
      <c r="G87" s="45">
        <v>8513.9665981534745</v>
      </c>
    </row>
    <row r="88" spans="1:7" ht="11.25" customHeight="1" x14ac:dyDescent="0.2">
      <c r="A88" s="55">
        <v>44531</v>
      </c>
      <c r="B88" s="45">
        <v>0</v>
      </c>
      <c r="C88" s="45">
        <v>8204.92497</v>
      </c>
      <c r="D88" s="45">
        <v>0</v>
      </c>
      <c r="E88" s="45">
        <v>8664.8906678064159</v>
      </c>
      <c r="F88" s="45">
        <v>8204.92497</v>
      </c>
      <c r="G88" s="45">
        <v>8664.8906678064159</v>
      </c>
    </row>
    <row r="89" spans="1:7" ht="11.25" customHeight="1" x14ac:dyDescent="0.2">
      <c r="A89" s="55">
        <v>44562</v>
      </c>
      <c r="B89" s="45">
        <v>0</v>
      </c>
      <c r="C89" s="45">
        <v>8288.4483</v>
      </c>
      <c r="D89" s="45">
        <v>0</v>
      </c>
      <c r="E89" s="45">
        <v>8753.0962912956347</v>
      </c>
      <c r="F89" s="45">
        <v>8288.4483</v>
      </c>
      <c r="G89" s="45">
        <v>8753.0962912956347</v>
      </c>
    </row>
    <row r="90" spans="1:7" ht="11.25" customHeight="1" x14ac:dyDescent="0.2">
      <c r="A90" s="55">
        <v>44593</v>
      </c>
      <c r="B90" s="45">
        <v>0</v>
      </c>
      <c r="C90" s="45">
        <v>8371.2618000000002</v>
      </c>
      <c r="D90" s="45">
        <v>0</v>
      </c>
      <c r="E90" s="45">
        <v>8840.5522919223404</v>
      </c>
      <c r="F90" s="45">
        <v>8371.2618000000002</v>
      </c>
      <c r="G90" s="45">
        <v>8840.5522919223404</v>
      </c>
    </row>
    <row r="91" spans="1:7" ht="11.25" customHeight="1" x14ac:dyDescent="0.2">
      <c r="A91" s="55">
        <v>44621</v>
      </c>
      <c r="B91" s="45">
        <v>0</v>
      </c>
      <c r="C91" s="45">
        <v>8616.8629799999999</v>
      </c>
      <c r="D91" s="45">
        <v>0</v>
      </c>
      <c r="E91" s="45">
        <v>9099.9218023523972</v>
      </c>
      <c r="F91" s="45">
        <v>8616.8629799999999</v>
      </c>
      <c r="G91" s="45">
        <v>9099.9218023523972</v>
      </c>
    </row>
    <row r="92" spans="1:7" ht="11.25" customHeight="1" x14ac:dyDescent="0.2">
      <c r="A92" s="55">
        <v>44652</v>
      </c>
      <c r="B92" s="45">
        <v>0</v>
      </c>
      <c r="C92" s="45">
        <v>8826.0262199999997</v>
      </c>
      <c r="D92" s="45">
        <v>0</v>
      </c>
      <c r="E92" s="45">
        <v>9320.8106725067028</v>
      </c>
      <c r="F92" s="45">
        <v>8826.0262199999997</v>
      </c>
      <c r="G92" s="45">
        <v>9320.8106725067028</v>
      </c>
    </row>
    <row r="93" spans="1:7" ht="11.25" customHeight="1" x14ac:dyDescent="0.2">
      <c r="A93" s="55">
        <v>44682</v>
      </c>
      <c r="B93" s="45">
        <v>0</v>
      </c>
      <c r="C93" s="45">
        <v>9219.5086499999998</v>
      </c>
      <c r="D93" s="45">
        <v>0</v>
      </c>
      <c r="E93" s="45">
        <v>9736.3516126273043</v>
      </c>
      <c r="F93" s="45">
        <v>9219.5086499999998</v>
      </c>
      <c r="G93" s="45">
        <v>9736.3516126273043</v>
      </c>
    </row>
    <row r="94" spans="1:7" ht="11.25" customHeight="1" x14ac:dyDescent="0.2">
      <c r="A94" s="55">
        <v>44713</v>
      </c>
      <c r="B94" s="45">
        <v>0</v>
      </c>
      <c r="C94" s="45">
        <v>8031.7264499999992</v>
      </c>
      <c r="D94" s="45">
        <v>0</v>
      </c>
      <c r="E94" s="45">
        <v>8481.982689352848</v>
      </c>
      <c r="F94" s="45">
        <v>8031.7264499999992</v>
      </c>
      <c r="G94" s="45">
        <v>8481.982689352848</v>
      </c>
    </row>
    <row r="95" spans="1:7" ht="11.25" customHeight="1" x14ac:dyDescent="0.2">
      <c r="A95" s="55">
        <v>44743</v>
      </c>
      <c r="B95" s="45">
        <v>0</v>
      </c>
      <c r="C95" s="45">
        <v>8268.3364500000007</v>
      </c>
      <c r="D95" s="45">
        <v>0</v>
      </c>
      <c r="E95" s="45">
        <v>8731.8569768577199</v>
      </c>
      <c r="F95" s="45">
        <v>8268.3364500000007</v>
      </c>
      <c r="G95" s="45">
        <v>8731.8569768577199</v>
      </c>
    </row>
    <row r="96" spans="1:7" ht="11.25" customHeight="1" x14ac:dyDescent="0.2">
      <c r="A96" s="55">
        <v>44774</v>
      </c>
      <c r="B96" s="45">
        <v>0</v>
      </c>
      <c r="C96" s="45">
        <v>8268.3364500000007</v>
      </c>
      <c r="D96" s="45">
        <v>0</v>
      </c>
      <c r="E96" s="45">
        <v>8731.8569768577199</v>
      </c>
      <c r="F96" s="45">
        <v>8268.3364500000007</v>
      </c>
      <c r="G96" s="45">
        <v>8731.8569768577199</v>
      </c>
    </row>
    <row r="97" spans="1:7" ht="11.25" customHeight="1" x14ac:dyDescent="0.2">
      <c r="A97" s="51" t="s">
        <v>31</v>
      </c>
      <c r="B97" s="45">
        <v>0</v>
      </c>
      <c r="C97" s="45">
        <v>28802.619299999991</v>
      </c>
      <c r="D97" s="45">
        <v>0</v>
      </c>
      <c r="E97" s="45">
        <v>30418.57132654922</v>
      </c>
      <c r="F97" s="45">
        <v>28802.619299999988</v>
      </c>
      <c r="G97" s="45">
        <v>30418.571326549212</v>
      </c>
    </row>
    <row r="98" spans="1:7" ht="11.25" customHeight="1" x14ac:dyDescent="0.2">
      <c r="A98" s="52" t="s">
        <v>25</v>
      </c>
      <c r="B98" s="45">
        <v>0</v>
      </c>
      <c r="C98" s="45">
        <v>28802.619299999991</v>
      </c>
      <c r="D98" s="45">
        <v>0</v>
      </c>
      <c r="E98" s="45">
        <v>30418.57132654922</v>
      </c>
      <c r="F98" s="45">
        <v>28802.619299999988</v>
      </c>
      <c r="G98" s="45">
        <v>30418.571326549212</v>
      </c>
    </row>
    <row r="99" spans="1:7" ht="11.25" customHeight="1" x14ac:dyDescent="0.2">
      <c r="A99" s="53" t="s">
        <v>25</v>
      </c>
      <c r="B99" s="45">
        <v>0</v>
      </c>
      <c r="C99" s="45">
        <v>28802.619299999991</v>
      </c>
      <c r="D99" s="45">
        <v>0</v>
      </c>
      <c r="E99" s="45">
        <v>30418.57132654922</v>
      </c>
      <c r="F99" s="45">
        <v>28802.619299999988</v>
      </c>
      <c r="G99" s="45">
        <v>30418.571326549212</v>
      </c>
    </row>
    <row r="100" spans="1:7" ht="11.25" customHeight="1" x14ac:dyDescent="0.2">
      <c r="A100" s="54" t="s">
        <v>25</v>
      </c>
      <c r="B100" s="45">
        <v>0</v>
      </c>
      <c r="C100" s="45">
        <v>28802.619299999991</v>
      </c>
      <c r="D100" s="45">
        <v>0</v>
      </c>
      <c r="E100" s="45">
        <v>30418.57132654922</v>
      </c>
      <c r="F100" s="45">
        <v>28802.619299999988</v>
      </c>
      <c r="G100" s="45">
        <v>30418.571326549212</v>
      </c>
    </row>
    <row r="101" spans="1:7" ht="11.25" customHeight="1" x14ac:dyDescent="0.2">
      <c r="A101" s="55">
        <v>44440</v>
      </c>
      <c r="B101" s="45">
        <v>0</v>
      </c>
      <c r="C101" s="45">
        <v>2199.3744499999993</v>
      </c>
      <c r="D101" s="45">
        <v>0</v>
      </c>
      <c r="E101" s="45">
        <v>2322.768908073404</v>
      </c>
      <c r="F101" s="45">
        <v>2199.3744499999993</v>
      </c>
      <c r="G101" s="45">
        <v>2322.768908073404</v>
      </c>
    </row>
    <row r="102" spans="1:7" ht="11.25" customHeight="1" x14ac:dyDescent="0.2">
      <c r="A102" s="55">
        <v>44470</v>
      </c>
      <c r="B102" s="45">
        <v>0</v>
      </c>
      <c r="C102" s="45">
        <v>2172.5794999999994</v>
      </c>
      <c r="D102" s="45">
        <v>0</v>
      </c>
      <c r="E102" s="45">
        <v>2294.4706450134772</v>
      </c>
      <c r="F102" s="45">
        <v>2172.5794999999994</v>
      </c>
      <c r="G102" s="45">
        <v>2294.4706450134772</v>
      </c>
    </row>
    <row r="103" spans="1:7" ht="11.25" customHeight="1" x14ac:dyDescent="0.2">
      <c r="A103" s="55">
        <v>44501</v>
      </c>
      <c r="B103" s="45">
        <v>0</v>
      </c>
      <c r="C103" s="45">
        <v>2264.0253999999991</v>
      </c>
      <c r="D103" s="45">
        <v>0</v>
      </c>
      <c r="E103" s="45">
        <v>2391.0470571341102</v>
      </c>
      <c r="F103" s="45">
        <v>2264.0253999999991</v>
      </c>
      <c r="G103" s="45">
        <v>2391.0470571341102</v>
      </c>
    </row>
    <row r="104" spans="1:7" ht="11.25" customHeight="1" x14ac:dyDescent="0.2">
      <c r="A104" s="55">
        <v>44531</v>
      </c>
      <c r="B104" s="45">
        <v>0</v>
      </c>
      <c r="C104" s="45">
        <v>2397.4086499999994</v>
      </c>
      <c r="D104" s="45">
        <v>0</v>
      </c>
      <c r="E104" s="45">
        <v>2531.9136867149814</v>
      </c>
      <c r="F104" s="45">
        <v>2397.4086499999994</v>
      </c>
      <c r="G104" s="45">
        <v>2531.9136867149814</v>
      </c>
    </row>
    <row r="105" spans="1:7" ht="11.25" customHeight="1" x14ac:dyDescent="0.2">
      <c r="A105" s="55">
        <v>44562</v>
      </c>
      <c r="B105" s="45">
        <v>0</v>
      </c>
      <c r="C105" s="45">
        <v>2726.3417999999988</v>
      </c>
      <c r="D105" s="45">
        <v>0</v>
      </c>
      <c r="E105" s="45">
        <v>2879.3014149186279</v>
      </c>
      <c r="F105" s="45">
        <v>2726.3417999999988</v>
      </c>
      <c r="G105" s="45">
        <v>2879.3014149186279</v>
      </c>
    </row>
    <row r="106" spans="1:7" ht="11.25" customHeight="1" x14ac:dyDescent="0.2">
      <c r="A106" s="55">
        <v>44593</v>
      </c>
      <c r="B106" s="45">
        <v>0</v>
      </c>
      <c r="C106" s="45">
        <v>2666.955199999999</v>
      </c>
      <c r="D106" s="45">
        <v>0</v>
      </c>
      <c r="E106" s="45">
        <v>2816.5829687549053</v>
      </c>
      <c r="F106" s="45">
        <v>2666.955199999999</v>
      </c>
      <c r="G106" s="45">
        <v>2816.5829687549053</v>
      </c>
    </row>
    <row r="107" spans="1:7" ht="11.25" customHeight="1" x14ac:dyDescent="0.2">
      <c r="A107" s="55">
        <v>44621</v>
      </c>
      <c r="B107" s="45">
        <v>0</v>
      </c>
      <c r="C107" s="45">
        <v>2657.9643999999989</v>
      </c>
      <c r="D107" s="45">
        <v>0</v>
      </c>
      <c r="E107" s="45">
        <v>2807.0877458297205</v>
      </c>
      <c r="F107" s="45">
        <v>2657.9643999999989</v>
      </c>
      <c r="G107" s="45">
        <v>2807.0877458297205</v>
      </c>
    </row>
    <row r="108" spans="1:7" ht="11.25" customHeight="1" x14ac:dyDescent="0.2">
      <c r="A108" s="55">
        <v>44652</v>
      </c>
      <c r="B108" s="45">
        <v>0</v>
      </c>
      <c r="C108" s="45">
        <v>2629.0400499999992</v>
      </c>
      <c r="D108" s="45">
        <v>0</v>
      </c>
      <c r="E108" s="45">
        <v>2776.54061418225</v>
      </c>
      <c r="F108" s="45">
        <v>2629.0400499999992</v>
      </c>
      <c r="G108" s="45">
        <v>2776.54061418225</v>
      </c>
    </row>
    <row r="109" spans="1:7" ht="11.25" customHeight="1" x14ac:dyDescent="0.2">
      <c r="A109" s="55">
        <v>44682</v>
      </c>
      <c r="B109" s="45">
        <v>0</v>
      </c>
      <c r="C109" s="45">
        <v>2420.122249999999</v>
      </c>
      <c r="D109" s="45">
        <v>0</v>
      </c>
      <c r="E109" s="45">
        <v>2555.9016183154486</v>
      </c>
      <c r="F109" s="45">
        <v>2420.122249999999</v>
      </c>
      <c r="G109" s="45">
        <v>2555.9016183154486</v>
      </c>
    </row>
    <row r="110" spans="1:7" ht="11.25" customHeight="1" x14ac:dyDescent="0.2">
      <c r="A110" s="55">
        <v>44713</v>
      </c>
      <c r="B110" s="45">
        <v>0</v>
      </c>
      <c r="C110" s="45">
        <v>2237.2895999999996</v>
      </c>
      <c r="D110" s="45">
        <v>0</v>
      </c>
      <c r="E110" s="45">
        <v>2362.8112626460597</v>
      </c>
      <c r="F110" s="45">
        <v>2237.2895999999996</v>
      </c>
      <c r="G110" s="45">
        <v>2362.8112626460597</v>
      </c>
    </row>
    <row r="111" spans="1:7" ht="11.25" customHeight="1" x14ac:dyDescent="0.2">
      <c r="A111" s="55">
        <v>44743</v>
      </c>
      <c r="B111" s="45">
        <v>0</v>
      </c>
      <c r="C111" s="45">
        <v>2215.7589999999996</v>
      </c>
      <c r="D111" s="45">
        <v>0</v>
      </c>
      <c r="E111" s="45">
        <v>2340.0727024831167</v>
      </c>
      <c r="F111" s="45">
        <v>2215.7589999999996</v>
      </c>
      <c r="G111" s="45">
        <v>2340.0727024831167</v>
      </c>
    </row>
    <row r="112" spans="1:7" ht="11.25" customHeight="1" x14ac:dyDescent="0.2">
      <c r="A112" s="55">
        <v>44774</v>
      </c>
      <c r="B112" s="45">
        <v>0</v>
      </c>
      <c r="C112" s="45">
        <v>2215.7589999999996</v>
      </c>
      <c r="D112" s="45">
        <v>0</v>
      </c>
      <c r="E112" s="45">
        <v>2340.0727024831167</v>
      </c>
      <c r="F112" s="45">
        <v>2215.7589999999996</v>
      </c>
      <c r="G112" s="45">
        <v>2340.0727024831167</v>
      </c>
    </row>
    <row r="113" spans="1:7" ht="11.25" customHeight="1" x14ac:dyDescent="0.2">
      <c r="A113" s="51" t="s">
        <v>32</v>
      </c>
      <c r="B113" s="45">
        <v>0</v>
      </c>
      <c r="C113" s="45">
        <v>0</v>
      </c>
      <c r="D113" s="45">
        <v>0</v>
      </c>
      <c r="E113" s="45">
        <v>-6.6276300003664799E-12</v>
      </c>
      <c r="F113" s="45">
        <v>0</v>
      </c>
      <c r="G113" s="45">
        <v>-6.6276300003664783E-12</v>
      </c>
    </row>
    <row r="114" spans="1:7" ht="11.25" customHeight="1" x14ac:dyDescent="0.2">
      <c r="A114" s="52" t="s">
        <v>25</v>
      </c>
      <c r="B114" s="45">
        <v>0</v>
      </c>
      <c r="C114" s="45">
        <v>0</v>
      </c>
      <c r="D114" s="45">
        <v>0</v>
      </c>
      <c r="E114" s="45">
        <v>-6.6276300003664799E-12</v>
      </c>
      <c r="F114" s="45">
        <v>0</v>
      </c>
      <c r="G114" s="45">
        <v>-6.6276300003664783E-12</v>
      </c>
    </row>
    <row r="115" spans="1:7" ht="11.25" customHeight="1" x14ac:dyDescent="0.2">
      <c r="A115" s="53" t="s">
        <v>25</v>
      </c>
      <c r="B115" s="45">
        <v>0</v>
      </c>
      <c r="C115" s="45">
        <v>0</v>
      </c>
      <c r="D115" s="45">
        <v>0</v>
      </c>
      <c r="E115" s="45">
        <v>-6.6276300003664799E-12</v>
      </c>
      <c r="F115" s="45">
        <v>0</v>
      </c>
      <c r="G115" s="45">
        <v>-6.6276300003664783E-12</v>
      </c>
    </row>
    <row r="116" spans="1:7" ht="11.25" customHeight="1" x14ac:dyDescent="0.2">
      <c r="A116" s="54" t="s">
        <v>25</v>
      </c>
      <c r="B116" s="45">
        <v>0</v>
      </c>
      <c r="C116" s="45">
        <v>0</v>
      </c>
      <c r="D116" s="45">
        <v>0</v>
      </c>
      <c r="E116" s="45">
        <v>-6.6276300003664799E-12</v>
      </c>
      <c r="F116" s="45">
        <v>0</v>
      </c>
      <c r="G116" s="45">
        <v>-6.6276300003664783E-12</v>
      </c>
    </row>
    <row r="117" spans="1:7" ht="11.25" customHeight="1" x14ac:dyDescent="0.2">
      <c r="A117" s="55">
        <v>44440</v>
      </c>
      <c r="B117" s="45">
        <v>0</v>
      </c>
      <c r="C117" s="45">
        <v>0</v>
      </c>
      <c r="D117" s="45">
        <v>0</v>
      </c>
      <c r="E117" s="45">
        <v>-4.0435566006635782E-13</v>
      </c>
      <c r="F117" s="45">
        <v>0</v>
      </c>
      <c r="G117" s="45">
        <v>-4.0435566006635782E-13</v>
      </c>
    </row>
    <row r="118" spans="1:7" ht="11.25" customHeight="1" x14ac:dyDescent="0.2">
      <c r="A118" s="55">
        <v>44470</v>
      </c>
      <c r="B118" s="45">
        <v>0</v>
      </c>
      <c r="C118" s="45">
        <v>0</v>
      </c>
      <c r="D118" s="45">
        <v>0</v>
      </c>
      <c r="E118" s="45">
        <v>-3.9372594073938671E-13</v>
      </c>
      <c r="F118" s="45">
        <v>0</v>
      </c>
      <c r="G118" s="45">
        <v>-3.9372594073938671E-13</v>
      </c>
    </row>
    <row r="119" spans="1:7" ht="11.25" customHeight="1" x14ac:dyDescent="0.2">
      <c r="A119" s="55">
        <v>44501</v>
      </c>
      <c r="B119" s="45">
        <v>0</v>
      </c>
      <c r="C119" s="45">
        <v>0</v>
      </c>
      <c r="D119" s="45">
        <v>0</v>
      </c>
      <c r="E119" s="45">
        <v>-3.9651126826356627E-13</v>
      </c>
      <c r="F119" s="45">
        <v>0</v>
      </c>
      <c r="G119" s="45">
        <v>-3.9651126826356627E-13</v>
      </c>
    </row>
    <row r="120" spans="1:7" ht="11.25" customHeight="1" x14ac:dyDescent="0.2">
      <c r="A120" s="55">
        <v>44531</v>
      </c>
      <c r="B120" s="45">
        <v>0</v>
      </c>
      <c r="C120" s="45">
        <v>0</v>
      </c>
      <c r="D120" s="45">
        <v>0</v>
      </c>
      <c r="E120" s="45">
        <v>-4.9834625315270384E-13</v>
      </c>
      <c r="F120" s="45">
        <v>0</v>
      </c>
      <c r="G120" s="45">
        <v>-4.9834625315270384E-13</v>
      </c>
    </row>
    <row r="121" spans="1:7" ht="11.25" customHeight="1" x14ac:dyDescent="0.2">
      <c r="A121" s="55">
        <v>44562</v>
      </c>
      <c r="B121" s="45">
        <v>0</v>
      </c>
      <c r="C121" s="45">
        <v>0</v>
      </c>
      <c r="D121" s="45">
        <v>0</v>
      </c>
      <c r="E121" s="45">
        <v>-8.6774321061966472E-13</v>
      </c>
      <c r="F121" s="45">
        <v>0</v>
      </c>
      <c r="G121" s="45">
        <v>-8.6774321061966472E-13</v>
      </c>
    </row>
    <row r="122" spans="1:7" ht="11.25" customHeight="1" x14ac:dyDescent="0.2">
      <c r="A122" s="55">
        <v>44593</v>
      </c>
      <c r="B122" s="45">
        <v>0</v>
      </c>
      <c r="C122" s="45">
        <v>0</v>
      </c>
      <c r="D122" s="45">
        <v>0</v>
      </c>
      <c r="E122" s="45">
        <v>-8.0555651038594078E-13</v>
      </c>
      <c r="F122" s="45">
        <v>0</v>
      </c>
      <c r="G122" s="45">
        <v>-8.0555651038594078E-13</v>
      </c>
    </row>
    <row r="123" spans="1:7" ht="11.25" customHeight="1" x14ac:dyDescent="0.2">
      <c r="A123" s="55">
        <v>44621</v>
      </c>
      <c r="B123" s="45">
        <v>0</v>
      </c>
      <c r="C123" s="45">
        <v>0</v>
      </c>
      <c r="D123" s="45">
        <v>0</v>
      </c>
      <c r="E123" s="45">
        <v>-7.0042460720287631E-13</v>
      </c>
      <c r="F123" s="45">
        <v>0</v>
      </c>
      <c r="G123" s="45">
        <v>-7.0042460720287631E-13</v>
      </c>
    </row>
    <row r="124" spans="1:7" ht="11.25" customHeight="1" x14ac:dyDescent="0.2">
      <c r="A124" s="55">
        <v>44652</v>
      </c>
      <c r="B124" s="45">
        <v>0</v>
      </c>
      <c r="C124" s="45">
        <v>0</v>
      </c>
      <c r="D124" s="45">
        <v>0</v>
      </c>
      <c r="E124" s="45">
        <v>-5.5877080740174279E-13</v>
      </c>
      <c r="F124" s="45">
        <v>0</v>
      </c>
      <c r="G124" s="45">
        <v>-5.5877080740174279E-13</v>
      </c>
    </row>
    <row r="125" spans="1:7" ht="11.25" customHeight="1" x14ac:dyDescent="0.2">
      <c r="A125" s="55">
        <v>44682</v>
      </c>
      <c r="B125" s="45">
        <v>0</v>
      </c>
      <c r="C125" s="45">
        <v>0</v>
      </c>
      <c r="D125" s="45">
        <v>0</v>
      </c>
      <c r="E125" s="45">
        <v>-3.695959094329737E-13</v>
      </c>
      <c r="F125" s="45">
        <v>0</v>
      </c>
      <c r="G125" s="45">
        <v>-3.695959094329737E-13</v>
      </c>
    </row>
    <row r="126" spans="1:7" ht="11.25" customHeight="1" x14ac:dyDescent="0.2">
      <c r="A126" s="55">
        <v>44713</v>
      </c>
      <c r="B126" s="45">
        <v>0</v>
      </c>
      <c r="C126" s="45">
        <v>0</v>
      </c>
      <c r="D126" s="45">
        <v>0</v>
      </c>
      <c r="E126" s="45">
        <v>-5.3523763199336829E-13</v>
      </c>
      <c r="F126" s="45">
        <v>0</v>
      </c>
      <c r="G126" s="45">
        <v>-5.3523763199336829E-13</v>
      </c>
    </row>
    <row r="127" spans="1:7" ht="11.25" customHeight="1" x14ac:dyDescent="0.2">
      <c r="A127" s="55">
        <v>44743</v>
      </c>
      <c r="B127" s="45">
        <v>0</v>
      </c>
      <c r="C127" s="45">
        <v>0</v>
      </c>
      <c r="D127" s="45">
        <v>0</v>
      </c>
      <c r="E127" s="45">
        <v>-5.4868110055394936E-13</v>
      </c>
      <c r="F127" s="45">
        <v>0</v>
      </c>
      <c r="G127" s="45">
        <v>-5.4868110055394936E-13</v>
      </c>
    </row>
    <row r="128" spans="1:7" ht="11.25" customHeight="1" x14ac:dyDescent="0.2">
      <c r="A128" s="55">
        <v>44774</v>
      </c>
      <c r="B128" s="45">
        <v>0</v>
      </c>
      <c r="C128" s="45">
        <v>0</v>
      </c>
      <c r="D128" s="45">
        <v>0</v>
      </c>
      <c r="E128" s="45">
        <v>-5.4868110055394936E-13</v>
      </c>
      <c r="F128" s="45">
        <v>0</v>
      </c>
      <c r="G128" s="45">
        <v>-5.4868110055394936E-13</v>
      </c>
    </row>
    <row r="129" spans="1:7" ht="11.25" customHeight="1" x14ac:dyDescent="0.2">
      <c r="A129" s="47" t="s">
        <v>650</v>
      </c>
      <c r="B129" s="45">
        <v>0</v>
      </c>
      <c r="C129" s="45">
        <v>3988.0055319999997</v>
      </c>
      <c r="D129" s="45">
        <v>0</v>
      </c>
      <c r="E129" s="45">
        <v>4282.8283740563566</v>
      </c>
      <c r="F129" s="45">
        <v>3988.0055319999997</v>
      </c>
      <c r="G129" s="45">
        <v>4282.8283740563566</v>
      </c>
    </row>
    <row r="130" spans="1:7" ht="11.25" customHeight="1" x14ac:dyDescent="0.2">
      <c r="A130" s="48" t="s">
        <v>43</v>
      </c>
      <c r="B130" s="45">
        <v>0</v>
      </c>
      <c r="C130" s="45">
        <v>3988.0055319999997</v>
      </c>
      <c r="D130" s="45">
        <v>0</v>
      </c>
      <c r="E130" s="45">
        <v>4282.8283740563566</v>
      </c>
      <c r="F130" s="45">
        <v>3988.0055319999997</v>
      </c>
      <c r="G130" s="45">
        <v>4282.8283740563566</v>
      </c>
    </row>
    <row r="131" spans="1:7" ht="11.25" customHeight="1" x14ac:dyDescent="0.2">
      <c r="A131" s="49" t="s">
        <v>23</v>
      </c>
      <c r="B131" s="45">
        <v>0</v>
      </c>
      <c r="C131" s="45">
        <v>3988.0055319999997</v>
      </c>
      <c r="D131" s="45">
        <v>0</v>
      </c>
      <c r="E131" s="45">
        <v>4282.8283740563566</v>
      </c>
      <c r="F131" s="45">
        <v>3988.0055319999997</v>
      </c>
      <c r="G131" s="45">
        <v>4282.8283740563566</v>
      </c>
    </row>
    <row r="132" spans="1:7" ht="11.25" customHeight="1" x14ac:dyDescent="0.2">
      <c r="A132" s="50" t="s">
        <v>44</v>
      </c>
      <c r="B132" s="45">
        <v>0</v>
      </c>
      <c r="C132" s="45">
        <v>3988.0055319999997</v>
      </c>
      <c r="D132" s="45">
        <v>0</v>
      </c>
      <c r="E132" s="45">
        <v>4282.8283740563566</v>
      </c>
      <c r="F132" s="45">
        <v>3988.0055319999997</v>
      </c>
      <c r="G132" s="45">
        <v>4282.8283740563566</v>
      </c>
    </row>
    <row r="133" spans="1:7" ht="11.25" customHeight="1" x14ac:dyDescent="0.2">
      <c r="A133" s="51" t="s">
        <v>52</v>
      </c>
      <c r="B133" s="45">
        <v>0</v>
      </c>
      <c r="C133" s="45">
        <v>3988.0055319999997</v>
      </c>
      <c r="D133" s="45">
        <v>0</v>
      </c>
      <c r="E133" s="45">
        <v>4282.8283740563566</v>
      </c>
      <c r="F133" s="45">
        <v>3988.0055319999997</v>
      </c>
      <c r="G133" s="45">
        <v>4282.8283740563566</v>
      </c>
    </row>
    <row r="134" spans="1:7" ht="11.25" customHeight="1" x14ac:dyDescent="0.2">
      <c r="A134" s="52" t="s">
        <v>54</v>
      </c>
      <c r="B134" s="45">
        <v>0</v>
      </c>
      <c r="C134" s="45">
        <v>3988.0055319999997</v>
      </c>
      <c r="D134" s="45">
        <v>0</v>
      </c>
      <c r="E134" s="45">
        <v>4282.8283740563566</v>
      </c>
      <c r="F134" s="45">
        <v>3988.0055319999997</v>
      </c>
      <c r="G134" s="45">
        <v>4282.8283740563566</v>
      </c>
    </row>
    <row r="135" spans="1:7" ht="11.25" customHeight="1" x14ac:dyDescent="0.2">
      <c r="A135" s="53" t="s">
        <v>25</v>
      </c>
      <c r="B135" s="45">
        <v>0</v>
      </c>
      <c r="C135" s="45">
        <v>3988.0055319999997</v>
      </c>
      <c r="D135" s="45">
        <v>0</v>
      </c>
      <c r="E135" s="45">
        <v>4282.8283740563566</v>
      </c>
      <c r="F135" s="45">
        <v>3988.0055319999997</v>
      </c>
      <c r="G135" s="45">
        <v>4282.8283740563566</v>
      </c>
    </row>
    <row r="136" spans="1:7" ht="11.25" customHeight="1" x14ac:dyDescent="0.2">
      <c r="A136" s="54" t="s">
        <v>25</v>
      </c>
      <c r="B136" s="45">
        <v>0</v>
      </c>
      <c r="C136" s="45">
        <v>3988.0055319999997</v>
      </c>
      <c r="D136" s="45">
        <v>0</v>
      </c>
      <c r="E136" s="45">
        <v>4282.8283740563566</v>
      </c>
      <c r="F136" s="45">
        <v>3988.0055319999997</v>
      </c>
      <c r="G136" s="45">
        <v>4282.8283740563566</v>
      </c>
    </row>
    <row r="137" spans="1:7" ht="11.25" customHeight="1" x14ac:dyDescent="0.2">
      <c r="A137" s="55">
        <v>44440</v>
      </c>
      <c r="B137" s="45">
        <v>0</v>
      </c>
      <c r="C137" s="45">
        <v>281.26778400000001</v>
      </c>
      <c r="D137" s="45">
        <v>0</v>
      </c>
      <c r="E137" s="45">
        <v>302.06117728704146</v>
      </c>
      <c r="F137" s="45">
        <v>281.26778400000001</v>
      </c>
      <c r="G137" s="45">
        <v>302.06117728704146</v>
      </c>
    </row>
    <row r="138" spans="1:7" ht="11.25" customHeight="1" x14ac:dyDescent="0.2">
      <c r="A138" s="55">
        <v>44470</v>
      </c>
      <c r="B138" s="45">
        <v>0</v>
      </c>
      <c r="C138" s="45">
        <v>308.29651999999999</v>
      </c>
      <c r="D138" s="45">
        <v>0</v>
      </c>
      <c r="E138" s="45">
        <v>331.08807720651697</v>
      </c>
      <c r="F138" s="45">
        <v>308.29651999999999</v>
      </c>
      <c r="G138" s="45">
        <v>331.08807720651697</v>
      </c>
    </row>
    <row r="139" spans="1:7" ht="11.25" customHeight="1" x14ac:dyDescent="0.2">
      <c r="A139" s="55">
        <v>44501</v>
      </c>
      <c r="B139" s="45">
        <v>0</v>
      </c>
      <c r="C139" s="45">
        <v>725.13030800000013</v>
      </c>
      <c r="D139" s="45">
        <v>0</v>
      </c>
      <c r="E139" s="45">
        <v>778.73729940217765</v>
      </c>
      <c r="F139" s="45">
        <v>725.13030800000013</v>
      </c>
      <c r="G139" s="45">
        <v>778.73729940217765</v>
      </c>
    </row>
    <row r="140" spans="1:7" ht="11.25" customHeight="1" x14ac:dyDescent="0.2">
      <c r="A140" s="55">
        <v>44531</v>
      </c>
      <c r="B140" s="45">
        <v>0</v>
      </c>
      <c r="C140" s="45">
        <v>941.78251999999998</v>
      </c>
      <c r="D140" s="45">
        <v>0</v>
      </c>
      <c r="E140" s="45">
        <v>1011.4060440692231</v>
      </c>
      <c r="F140" s="45">
        <v>941.78251999999998</v>
      </c>
      <c r="G140" s="45">
        <v>1011.4060440692231</v>
      </c>
    </row>
    <row r="141" spans="1:7" ht="11.25" customHeight="1" x14ac:dyDescent="0.2">
      <c r="A141" s="55">
        <v>44562</v>
      </c>
      <c r="B141" s="45">
        <v>0</v>
      </c>
      <c r="C141" s="45">
        <v>184.133264</v>
      </c>
      <c r="D141" s="45">
        <v>0</v>
      </c>
      <c r="E141" s="45">
        <v>197.74575570142656</v>
      </c>
      <c r="F141" s="45">
        <v>184.133264</v>
      </c>
      <c r="G141" s="45">
        <v>197.74575570142656</v>
      </c>
    </row>
    <row r="142" spans="1:7" ht="11.25" customHeight="1" x14ac:dyDescent="0.2">
      <c r="A142" s="55">
        <v>44593</v>
      </c>
      <c r="B142" s="45">
        <v>0</v>
      </c>
      <c r="C142" s="45">
        <v>430.77048000000002</v>
      </c>
      <c r="D142" s="45">
        <v>0</v>
      </c>
      <c r="E142" s="45">
        <v>462.61621746664019</v>
      </c>
      <c r="F142" s="45">
        <v>430.77048000000002</v>
      </c>
      <c r="G142" s="45">
        <v>462.61621746664019</v>
      </c>
    </row>
    <row r="143" spans="1:7" ht="11.25" customHeight="1" x14ac:dyDescent="0.2">
      <c r="A143" s="55">
        <v>44621</v>
      </c>
      <c r="B143" s="45">
        <v>0</v>
      </c>
      <c r="C143" s="45">
        <v>369.95582400000001</v>
      </c>
      <c r="D143" s="45">
        <v>0</v>
      </c>
      <c r="E143" s="45">
        <v>397.30569264782042</v>
      </c>
      <c r="F143" s="45">
        <v>369.95582400000001</v>
      </c>
      <c r="G143" s="45">
        <v>397.30569264782042</v>
      </c>
    </row>
    <row r="144" spans="1:7" ht="11.25" customHeight="1" x14ac:dyDescent="0.2">
      <c r="A144" s="55">
        <v>44652</v>
      </c>
      <c r="B144" s="45">
        <v>0</v>
      </c>
      <c r="C144" s="45">
        <v>286.75799600000005</v>
      </c>
      <c r="D144" s="45">
        <v>0</v>
      </c>
      <c r="E144" s="45">
        <v>307.95726633318492</v>
      </c>
      <c r="F144" s="45">
        <v>286.75799600000005</v>
      </c>
      <c r="G144" s="45">
        <v>307.95726633318492</v>
      </c>
    </row>
    <row r="145" spans="1:7" ht="11.25" customHeight="1" x14ac:dyDescent="0.2">
      <c r="A145" s="55">
        <v>44682</v>
      </c>
      <c r="B145" s="45">
        <v>0</v>
      </c>
      <c r="C145" s="45">
        <v>160.48312000000001</v>
      </c>
      <c r="D145" s="45">
        <v>0</v>
      </c>
      <c r="E145" s="45">
        <v>172.34721827188554</v>
      </c>
      <c r="F145" s="45">
        <v>160.48312000000001</v>
      </c>
      <c r="G145" s="45">
        <v>172.34721827188554</v>
      </c>
    </row>
    <row r="146" spans="1:7" ht="11.25" customHeight="1" x14ac:dyDescent="0.2">
      <c r="A146" s="55">
        <v>44713</v>
      </c>
      <c r="B146" s="45">
        <v>0</v>
      </c>
      <c r="C146" s="45">
        <v>113.60515600000001</v>
      </c>
      <c r="D146" s="45">
        <v>0</v>
      </c>
      <c r="E146" s="45">
        <v>122.00368872404529</v>
      </c>
      <c r="F146" s="45">
        <v>113.60515600000001</v>
      </c>
      <c r="G146" s="45">
        <v>122.00368872404529</v>
      </c>
    </row>
    <row r="147" spans="1:7" ht="11.25" customHeight="1" x14ac:dyDescent="0.2">
      <c r="A147" s="55">
        <v>44743</v>
      </c>
      <c r="B147" s="45">
        <v>0</v>
      </c>
      <c r="C147" s="45">
        <v>92.911280000000005</v>
      </c>
      <c r="D147" s="45">
        <v>0</v>
      </c>
      <c r="E147" s="45">
        <v>99.779968473196888</v>
      </c>
      <c r="F147" s="45">
        <v>92.911280000000005</v>
      </c>
      <c r="G147" s="45">
        <v>99.779968473196888</v>
      </c>
    </row>
    <row r="148" spans="1:7" ht="11.25" customHeight="1" x14ac:dyDescent="0.2">
      <c r="A148" s="55">
        <v>44774</v>
      </c>
      <c r="B148" s="45">
        <v>0</v>
      </c>
      <c r="C148" s="45">
        <v>92.911280000000005</v>
      </c>
      <c r="D148" s="45">
        <v>0</v>
      </c>
      <c r="E148" s="45">
        <v>99.779968473196888</v>
      </c>
      <c r="F148" s="45">
        <v>92.911280000000005</v>
      </c>
      <c r="G148" s="45">
        <v>99.779968473196888</v>
      </c>
    </row>
    <row r="149" spans="1:7" ht="11.25" customHeight="1" x14ac:dyDescent="0.2">
      <c r="A149" s="47" t="s">
        <v>647</v>
      </c>
      <c r="B149" s="45">
        <v>2608.0672000000022</v>
      </c>
      <c r="C149" s="45">
        <v>253883.31739520005</v>
      </c>
      <c r="D149" s="45">
        <v>2853.2807393766025</v>
      </c>
      <c r="E149" s="45">
        <v>143823.13924512139</v>
      </c>
      <c r="F149" s="45">
        <v>256491.38459520004</v>
      </c>
      <c r="G149" s="45">
        <v>146676.41998449797</v>
      </c>
    </row>
    <row r="150" spans="1:7" ht="11.25" customHeight="1" x14ac:dyDescent="0.2">
      <c r="A150" s="48" t="s">
        <v>35</v>
      </c>
      <c r="B150" s="45">
        <v>2608.0672000000022</v>
      </c>
      <c r="C150" s="45">
        <v>4268.3699952000024</v>
      </c>
      <c r="D150" s="45">
        <v>2853.2807393766025</v>
      </c>
      <c r="E150" s="45">
        <v>4619.3115238697874</v>
      </c>
      <c r="F150" s="45">
        <v>6876.4371952000047</v>
      </c>
      <c r="G150" s="45">
        <v>7472.5922632463898</v>
      </c>
    </row>
    <row r="151" spans="1:7" ht="11.25" customHeight="1" x14ac:dyDescent="0.2">
      <c r="A151" s="49" t="s">
        <v>39</v>
      </c>
      <c r="B151" s="45">
        <v>2608.0672000000022</v>
      </c>
      <c r="C151" s="45">
        <v>4268.3699952000024</v>
      </c>
      <c r="D151" s="45">
        <v>2853.2807393766025</v>
      </c>
      <c r="E151" s="45">
        <v>4619.3115238697874</v>
      </c>
      <c r="F151" s="45">
        <v>6876.4371952000047</v>
      </c>
      <c r="G151" s="45">
        <v>7472.5922632463898</v>
      </c>
    </row>
    <row r="152" spans="1:7" ht="11.25" customHeight="1" x14ac:dyDescent="0.2">
      <c r="A152" s="50" t="s">
        <v>44</v>
      </c>
      <c r="B152" s="45">
        <v>2608.0672000000022</v>
      </c>
      <c r="C152" s="45">
        <v>4268.3699952000024</v>
      </c>
      <c r="D152" s="45">
        <v>2853.2807393766025</v>
      </c>
      <c r="E152" s="45">
        <v>4619.3115238697874</v>
      </c>
      <c r="F152" s="45">
        <v>6876.4371952000047</v>
      </c>
      <c r="G152" s="45">
        <v>7472.5922632463898</v>
      </c>
    </row>
    <row r="153" spans="1:7" ht="11.25" customHeight="1" x14ac:dyDescent="0.2">
      <c r="A153" s="51" t="s">
        <v>25</v>
      </c>
      <c r="B153" s="45">
        <v>2608.0672000000022</v>
      </c>
      <c r="C153" s="45">
        <v>4268.3699952000024</v>
      </c>
      <c r="D153" s="45">
        <v>2853.2807393766025</v>
      </c>
      <c r="E153" s="45">
        <v>4619.3115238697874</v>
      </c>
      <c r="F153" s="45">
        <v>6876.4371952000047</v>
      </c>
      <c r="G153" s="45">
        <v>7472.5922632463898</v>
      </c>
    </row>
    <row r="154" spans="1:7" ht="11.25" customHeight="1" x14ac:dyDescent="0.2">
      <c r="A154" s="52" t="s">
        <v>25</v>
      </c>
      <c r="B154" s="45">
        <v>2608.0672000000022</v>
      </c>
      <c r="C154" s="45">
        <v>4268.3699952000024</v>
      </c>
      <c r="D154" s="45">
        <v>2853.2807393766025</v>
      </c>
      <c r="E154" s="45">
        <v>4619.3115238697874</v>
      </c>
      <c r="F154" s="45">
        <v>6876.4371952000047</v>
      </c>
      <c r="G154" s="45">
        <v>7472.5922632463898</v>
      </c>
    </row>
    <row r="155" spans="1:7" ht="11.25" customHeight="1" x14ac:dyDescent="0.2">
      <c r="A155" s="53" t="s">
        <v>25</v>
      </c>
      <c r="B155" s="45">
        <v>2608.0672000000022</v>
      </c>
      <c r="C155" s="45">
        <v>4268.3699952000024</v>
      </c>
      <c r="D155" s="45">
        <v>2853.2807393766025</v>
      </c>
      <c r="E155" s="45">
        <v>4619.3115238697874</v>
      </c>
      <c r="F155" s="45">
        <v>6876.4371952000047</v>
      </c>
      <c r="G155" s="45">
        <v>7472.5922632463898</v>
      </c>
    </row>
    <row r="156" spans="1:7" ht="11.25" customHeight="1" x14ac:dyDescent="0.2">
      <c r="A156" s="54" t="s">
        <v>38</v>
      </c>
      <c r="B156" s="45">
        <v>0</v>
      </c>
      <c r="C156" s="45">
        <v>3729.5412864000023</v>
      </c>
      <c r="D156" s="45">
        <v>0</v>
      </c>
      <c r="E156" s="45">
        <v>4092.5155965934955</v>
      </c>
      <c r="F156" s="45">
        <v>3729.5412864000023</v>
      </c>
      <c r="G156" s="45">
        <v>4092.5155965934955</v>
      </c>
    </row>
    <row r="157" spans="1:7" ht="11.25" customHeight="1" x14ac:dyDescent="0.2">
      <c r="A157" s="55">
        <v>44440</v>
      </c>
      <c r="B157" s="45">
        <v>0</v>
      </c>
      <c r="C157" s="45">
        <v>298.74649920000059</v>
      </c>
      <c r="D157" s="45">
        <v>0</v>
      </c>
      <c r="E157" s="45">
        <v>327.82173825560892</v>
      </c>
      <c r="F157" s="45">
        <v>298.74649920000059</v>
      </c>
      <c r="G157" s="45">
        <v>327.82173825560892</v>
      </c>
    </row>
    <row r="158" spans="1:7" ht="11.25" customHeight="1" x14ac:dyDescent="0.2">
      <c r="A158" s="55">
        <v>44470</v>
      </c>
      <c r="B158" s="45">
        <v>0</v>
      </c>
      <c r="C158" s="45">
        <v>304.13045760000034</v>
      </c>
      <c r="D158" s="45">
        <v>0</v>
      </c>
      <c r="E158" s="45">
        <v>333.72968564950361</v>
      </c>
      <c r="F158" s="45">
        <v>304.13045760000034</v>
      </c>
      <c r="G158" s="45">
        <v>333.72968564950361</v>
      </c>
    </row>
    <row r="159" spans="1:7" ht="11.25" customHeight="1" x14ac:dyDescent="0.2">
      <c r="A159" s="55">
        <v>44501</v>
      </c>
      <c r="B159" s="45">
        <v>0</v>
      </c>
      <c r="C159" s="45">
        <v>317.82205759999982</v>
      </c>
      <c r="D159" s="45">
        <v>0</v>
      </c>
      <c r="E159" s="45">
        <v>348.75380852130172</v>
      </c>
      <c r="F159" s="45">
        <v>317.82205759999982</v>
      </c>
      <c r="G159" s="45">
        <v>348.75380852130172</v>
      </c>
    </row>
    <row r="160" spans="1:7" ht="11.25" customHeight="1" x14ac:dyDescent="0.2">
      <c r="A160" s="55">
        <v>44531</v>
      </c>
      <c r="B160" s="45">
        <v>0</v>
      </c>
      <c r="C160" s="45">
        <v>336.9481696000002</v>
      </c>
      <c r="D160" s="45">
        <v>0</v>
      </c>
      <c r="E160" s="45">
        <v>369.74135247144534</v>
      </c>
      <c r="F160" s="45">
        <v>336.9481696000002</v>
      </c>
      <c r="G160" s="45">
        <v>369.74135247144534</v>
      </c>
    </row>
    <row r="161" spans="1:7" ht="11.25" customHeight="1" x14ac:dyDescent="0.2">
      <c r="A161" s="55">
        <v>44562</v>
      </c>
      <c r="B161" s="45">
        <v>0</v>
      </c>
      <c r="C161" s="45">
        <v>341.62437759999972</v>
      </c>
      <c r="D161" s="45">
        <v>0</v>
      </c>
      <c r="E161" s="45">
        <v>374.87266828304382</v>
      </c>
      <c r="F161" s="45">
        <v>341.62437759999972</v>
      </c>
      <c r="G161" s="45">
        <v>374.87266828304382</v>
      </c>
    </row>
    <row r="162" spans="1:7" ht="11.25" customHeight="1" x14ac:dyDescent="0.2">
      <c r="A162" s="55">
        <v>44593</v>
      </c>
      <c r="B162" s="45">
        <v>0</v>
      </c>
      <c r="C162" s="45">
        <v>341.20309760000072</v>
      </c>
      <c r="D162" s="45">
        <v>0</v>
      </c>
      <c r="E162" s="45">
        <v>374.41038757929721</v>
      </c>
      <c r="F162" s="45">
        <v>341.20309760000072</v>
      </c>
      <c r="G162" s="45">
        <v>374.41038757929721</v>
      </c>
    </row>
    <row r="163" spans="1:7" ht="11.25" customHeight="1" x14ac:dyDescent="0.2">
      <c r="A163" s="55">
        <v>44621</v>
      </c>
      <c r="B163" s="45">
        <v>0</v>
      </c>
      <c r="C163" s="45">
        <v>335.26304959999959</v>
      </c>
      <c r="D163" s="45">
        <v>0</v>
      </c>
      <c r="E163" s="45">
        <v>367.89222965645411</v>
      </c>
      <c r="F163" s="45">
        <v>335.26304959999959</v>
      </c>
      <c r="G163" s="45">
        <v>367.89222965645411</v>
      </c>
    </row>
    <row r="164" spans="1:7" ht="11.25" customHeight="1" x14ac:dyDescent="0.2">
      <c r="A164" s="55">
        <v>44652</v>
      </c>
      <c r="B164" s="45">
        <v>0</v>
      </c>
      <c r="C164" s="45">
        <v>323.82108480000022</v>
      </c>
      <c r="D164" s="45">
        <v>0</v>
      </c>
      <c r="E164" s="45">
        <v>355.33668574266864</v>
      </c>
      <c r="F164" s="45">
        <v>323.82108480000022</v>
      </c>
      <c r="G164" s="45">
        <v>355.33668574266864</v>
      </c>
    </row>
    <row r="165" spans="1:7" ht="11.25" customHeight="1" x14ac:dyDescent="0.2">
      <c r="A165" s="55">
        <v>44682</v>
      </c>
      <c r="B165" s="45">
        <v>0</v>
      </c>
      <c r="C165" s="45">
        <v>292.69691840000064</v>
      </c>
      <c r="D165" s="45">
        <v>0</v>
      </c>
      <c r="E165" s="45">
        <v>321.18338734979272</v>
      </c>
      <c r="F165" s="45">
        <v>292.69691840000064</v>
      </c>
      <c r="G165" s="45">
        <v>321.18338734979272</v>
      </c>
    </row>
    <row r="166" spans="1:7" ht="11.25" customHeight="1" x14ac:dyDescent="0.2">
      <c r="A166" s="55">
        <v>44713</v>
      </c>
      <c r="B166" s="45">
        <v>0</v>
      </c>
      <c r="C166" s="45">
        <v>282.34185600000052</v>
      </c>
      <c r="D166" s="45">
        <v>0</v>
      </c>
      <c r="E166" s="45">
        <v>309.82052765167538</v>
      </c>
      <c r="F166" s="45">
        <v>282.34185600000052</v>
      </c>
      <c r="G166" s="45">
        <v>309.82052765167538</v>
      </c>
    </row>
    <row r="167" spans="1:7" ht="11.25" customHeight="1" x14ac:dyDescent="0.2">
      <c r="A167" s="55">
        <v>44743</v>
      </c>
      <c r="B167" s="45">
        <v>0</v>
      </c>
      <c r="C167" s="45">
        <v>277.47185920000004</v>
      </c>
      <c r="D167" s="45">
        <v>0</v>
      </c>
      <c r="E167" s="45">
        <v>304.47656271635202</v>
      </c>
      <c r="F167" s="45">
        <v>277.47185920000004</v>
      </c>
      <c r="G167" s="45">
        <v>304.47656271635202</v>
      </c>
    </row>
    <row r="168" spans="1:7" ht="11.25" customHeight="1" x14ac:dyDescent="0.2">
      <c r="A168" s="55">
        <v>44774</v>
      </c>
      <c r="B168" s="45">
        <v>0</v>
      </c>
      <c r="C168" s="45">
        <v>277.47185920000004</v>
      </c>
      <c r="D168" s="45">
        <v>0</v>
      </c>
      <c r="E168" s="45">
        <v>304.47656271635202</v>
      </c>
      <c r="F168" s="45">
        <v>277.47185920000004</v>
      </c>
      <c r="G168" s="45">
        <v>304.47656271635202</v>
      </c>
    </row>
    <row r="169" spans="1:7" ht="11.25" customHeight="1" x14ac:dyDescent="0.2">
      <c r="A169" s="54" t="s">
        <v>25</v>
      </c>
      <c r="B169" s="45">
        <v>2608.0672000000022</v>
      </c>
      <c r="C169" s="45">
        <v>0</v>
      </c>
      <c r="D169" s="45">
        <v>2853.2807393766025</v>
      </c>
      <c r="E169" s="45">
        <v>0</v>
      </c>
      <c r="F169" s="45">
        <v>2608.0672000000022</v>
      </c>
      <c r="G169" s="45">
        <v>2853.2807393766025</v>
      </c>
    </row>
    <row r="170" spans="1:7" ht="11.25" customHeight="1" x14ac:dyDescent="0.2">
      <c r="A170" s="55">
        <v>44440</v>
      </c>
      <c r="B170" s="45">
        <v>184.81280000000046</v>
      </c>
      <c r="C170" s="45">
        <v>0</v>
      </c>
      <c r="D170" s="45">
        <v>202.18911638099695</v>
      </c>
      <c r="E170" s="45">
        <v>0</v>
      </c>
      <c r="F170" s="45">
        <v>184.81280000000046</v>
      </c>
      <c r="G170" s="45">
        <v>202.18911638099695</v>
      </c>
    </row>
    <row r="171" spans="1:7" ht="11.25" customHeight="1" x14ac:dyDescent="0.2">
      <c r="A171" s="55">
        <v>44470</v>
      </c>
      <c r="B171" s="45">
        <v>195.84640000000022</v>
      </c>
      <c r="C171" s="45">
        <v>0</v>
      </c>
      <c r="D171" s="45">
        <v>214.26010840374275</v>
      </c>
      <c r="E171" s="45">
        <v>0</v>
      </c>
      <c r="F171" s="45">
        <v>195.84640000000022</v>
      </c>
      <c r="G171" s="45">
        <v>214.26010840374275</v>
      </c>
    </row>
    <row r="172" spans="1:7" ht="11.25" customHeight="1" x14ac:dyDescent="0.2">
      <c r="A172" s="55">
        <v>44501</v>
      </c>
      <c r="B172" s="45">
        <v>211.01760000000013</v>
      </c>
      <c r="C172" s="45">
        <v>0</v>
      </c>
      <c r="D172" s="45">
        <v>230.8577224350185</v>
      </c>
      <c r="E172" s="45">
        <v>0</v>
      </c>
      <c r="F172" s="45">
        <v>211.01760000000013</v>
      </c>
      <c r="G172" s="45">
        <v>230.8577224350185</v>
      </c>
    </row>
    <row r="173" spans="1:7" ht="11.25" customHeight="1" x14ac:dyDescent="0.2">
      <c r="A173" s="55">
        <v>44531</v>
      </c>
      <c r="B173" s="45">
        <v>206.88</v>
      </c>
      <c r="C173" s="45">
        <v>0</v>
      </c>
      <c r="D173" s="45">
        <v>226.33110042648855</v>
      </c>
      <c r="E173" s="45">
        <v>0</v>
      </c>
      <c r="F173" s="45">
        <v>206.88</v>
      </c>
      <c r="G173" s="45">
        <v>226.33110042648855</v>
      </c>
    </row>
    <row r="174" spans="1:7" ht="11.25" customHeight="1" x14ac:dyDescent="0.2">
      <c r="A174" s="55">
        <v>44562</v>
      </c>
      <c r="B174" s="45">
        <v>230.32640000000021</v>
      </c>
      <c r="C174" s="45">
        <v>0</v>
      </c>
      <c r="D174" s="45">
        <v>251.98195847482418</v>
      </c>
      <c r="E174" s="45">
        <v>0</v>
      </c>
      <c r="F174" s="45">
        <v>230.32640000000021</v>
      </c>
      <c r="G174" s="45">
        <v>251.98195847482418</v>
      </c>
    </row>
    <row r="175" spans="1:7" ht="11.25" customHeight="1" x14ac:dyDescent="0.2">
      <c r="A175" s="55">
        <v>44593</v>
      </c>
      <c r="B175" s="45">
        <v>224.80960000000033</v>
      </c>
      <c r="C175" s="45">
        <v>0</v>
      </c>
      <c r="D175" s="45">
        <v>245.9464624634513</v>
      </c>
      <c r="E175" s="45">
        <v>0</v>
      </c>
      <c r="F175" s="45">
        <v>224.80960000000033</v>
      </c>
      <c r="G175" s="45">
        <v>245.9464624634513</v>
      </c>
    </row>
    <row r="176" spans="1:7" ht="11.25" customHeight="1" x14ac:dyDescent="0.2">
      <c r="A176" s="55">
        <v>44621</v>
      </c>
      <c r="B176" s="45">
        <v>208.25919999999971</v>
      </c>
      <c r="C176" s="45">
        <v>0</v>
      </c>
      <c r="D176" s="45">
        <v>227.83997442933151</v>
      </c>
      <c r="E176" s="45">
        <v>0</v>
      </c>
      <c r="F176" s="45">
        <v>208.25919999999971</v>
      </c>
      <c r="G176" s="45">
        <v>227.83997442933151</v>
      </c>
    </row>
    <row r="177" spans="1:7" ht="11.25" customHeight="1" x14ac:dyDescent="0.2">
      <c r="A177" s="55">
        <v>44652</v>
      </c>
      <c r="B177" s="45">
        <v>208.25919999999971</v>
      </c>
      <c r="C177" s="45">
        <v>0</v>
      </c>
      <c r="D177" s="45">
        <v>227.83997442933151</v>
      </c>
      <c r="E177" s="45">
        <v>0</v>
      </c>
      <c r="F177" s="45">
        <v>208.25919999999971</v>
      </c>
      <c r="G177" s="45">
        <v>227.83997442933151</v>
      </c>
    </row>
    <row r="178" spans="1:7" ht="11.25" customHeight="1" x14ac:dyDescent="0.2">
      <c r="A178" s="55">
        <v>44682</v>
      </c>
      <c r="B178" s="45">
        <v>234.46400000000037</v>
      </c>
      <c r="C178" s="45">
        <v>0</v>
      </c>
      <c r="D178" s="45">
        <v>256.50858048335414</v>
      </c>
      <c r="E178" s="45">
        <v>0</v>
      </c>
      <c r="F178" s="45">
        <v>234.46400000000037</v>
      </c>
      <c r="G178" s="45">
        <v>256.50858048335414</v>
      </c>
    </row>
    <row r="179" spans="1:7" ht="11.25" customHeight="1" x14ac:dyDescent="0.2">
      <c r="A179" s="55">
        <v>44713</v>
      </c>
      <c r="B179" s="45">
        <v>234.46400000000037</v>
      </c>
      <c r="C179" s="45">
        <v>0</v>
      </c>
      <c r="D179" s="45">
        <v>256.50858048335414</v>
      </c>
      <c r="E179" s="45">
        <v>0</v>
      </c>
      <c r="F179" s="45">
        <v>234.46400000000037</v>
      </c>
      <c r="G179" s="45">
        <v>256.50858048335414</v>
      </c>
    </row>
    <row r="180" spans="1:7" ht="11.25" customHeight="1" x14ac:dyDescent="0.2">
      <c r="A180" s="55">
        <v>44743</v>
      </c>
      <c r="B180" s="45">
        <v>234.46400000000037</v>
      </c>
      <c r="C180" s="45">
        <v>0</v>
      </c>
      <c r="D180" s="45">
        <v>256.50858048335414</v>
      </c>
      <c r="E180" s="45">
        <v>0</v>
      </c>
      <c r="F180" s="45">
        <v>234.46400000000037</v>
      </c>
      <c r="G180" s="45">
        <v>256.50858048335414</v>
      </c>
    </row>
    <row r="181" spans="1:7" ht="11.25" customHeight="1" x14ac:dyDescent="0.2">
      <c r="A181" s="55">
        <v>44774</v>
      </c>
      <c r="B181" s="45">
        <v>234.46400000000037</v>
      </c>
      <c r="C181" s="45">
        <v>0</v>
      </c>
      <c r="D181" s="45">
        <v>256.50858048335414</v>
      </c>
      <c r="E181" s="45">
        <v>0</v>
      </c>
      <c r="F181" s="45">
        <v>234.46400000000037</v>
      </c>
      <c r="G181" s="45">
        <v>256.50858048335414</v>
      </c>
    </row>
    <row r="182" spans="1:7" ht="11.25" customHeight="1" x14ac:dyDescent="0.2">
      <c r="A182" s="54" t="s">
        <v>37</v>
      </c>
      <c r="B182" s="45">
        <v>0</v>
      </c>
      <c r="C182" s="45">
        <v>538.82870880000087</v>
      </c>
      <c r="D182" s="45">
        <v>0</v>
      </c>
      <c r="E182" s="45">
        <v>526.79592727629222</v>
      </c>
      <c r="F182" s="45">
        <v>538.82870880000087</v>
      </c>
      <c r="G182" s="45">
        <v>526.79592727629222</v>
      </c>
    </row>
    <row r="183" spans="1:7" ht="11.25" customHeight="1" x14ac:dyDescent="0.2">
      <c r="A183" s="55">
        <v>44440</v>
      </c>
      <c r="B183" s="45">
        <v>0</v>
      </c>
      <c r="C183" s="45">
        <v>31.995074399999986</v>
      </c>
      <c r="D183" s="45">
        <v>0</v>
      </c>
      <c r="E183" s="45">
        <v>31.280580658663531</v>
      </c>
      <c r="F183" s="45">
        <v>31.995074399999986</v>
      </c>
      <c r="G183" s="45">
        <v>31.280580658663531</v>
      </c>
    </row>
    <row r="184" spans="1:7" ht="11.25" customHeight="1" x14ac:dyDescent="0.2">
      <c r="A184" s="55">
        <v>44470</v>
      </c>
      <c r="B184" s="45">
        <v>0</v>
      </c>
      <c r="C184" s="45">
        <v>90.219326400000156</v>
      </c>
      <c r="D184" s="45">
        <v>0</v>
      </c>
      <c r="E184" s="45">
        <v>88.20460553220336</v>
      </c>
      <c r="F184" s="45">
        <v>90.219326400000156</v>
      </c>
      <c r="G184" s="45">
        <v>88.20460553220336</v>
      </c>
    </row>
    <row r="185" spans="1:7" ht="11.25" customHeight="1" x14ac:dyDescent="0.2">
      <c r="A185" s="55">
        <v>44501</v>
      </c>
      <c r="B185" s="45">
        <v>0</v>
      </c>
      <c r="C185" s="45">
        <v>74.504431200000141</v>
      </c>
      <c r="D185" s="45">
        <v>0</v>
      </c>
      <c r="E185" s="45">
        <v>72.840645420704277</v>
      </c>
      <c r="F185" s="45">
        <v>74.504431200000141</v>
      </c>
      <c r="G185" s="45">
        <v>72.840645420704277</v>
      </c>
    </row>
    <row r="186" spans="1:7" ht="11.25" customHeight="1" x14ac:dyDescent="0.2">
      <c r="A186" s="55">
        <v>44531</v>
      </c>
      <c r="B186" s="45">
        <v>0</v>
      </c>
      <c r="C186" s="45">
        <v>150.36554400000037</v>
      </c>
      <c r="D186" s="45">
        <v>0</v>
      </c>
      <c r="E186" s="45">
        <v>147.00767588700572</v>
      </c>
      <c r="F186" s="45">
        <v>150.36554400000037</v>
      </c>
      <c r="G186" s="45">
        <v>147.00767588700572</v>
      </c>
    </row>
    <row r="187" spans="1:7" ht="11.25" customHeight="1" x14ac:dyDescent="0.2">
      <c r="A187" s="55">
        <v>44562</v>
      </c>
      <c r="B187" s="45">
        <v>0</v>
      </c>
      <c r="C187" s="45">
        <v>159.63620160000022</v>
      </c>
      <c r="D187" s="45">
        <v>0</v>
      </c>
      <c r="E187" s="45">
        <v>156.07130703191865</v>
      </c>
      <c r="F187" s="45">
        <v>159.63620160000022</v>
      </c>
      <c r="G187" s="45">
        <v>156.07130703191865</v>
      </c>
    </row>
    <row r="188" spans="1:7" ht="11.25" customHeight="1" x14ac:dyDescent="0.2">
      <c r="A188" s="55">
        <v>44593</v>
      </c>
      <c r="B188" s="45">
        <v>0</v>
      </c>
      <c r="C188" s="45">
        <v>30.525336000000088</v>
      </c>
      <c r="D188" s="45">
        <v>0</v>
      </c>
      <c r="E188" s="45">
        <v>29.843663525933497</v>
      </c>
      <c r="F188" s="45">
        <v>30.525336000000088</v>
      </c>
      <c r="G188" s="45">
        <v>29.843663525933497</v>
      </c>
    </row>
    <row r="189" spans="1:7" ht="11.25" customHeight="1" x14ac:dyDescent="0.2">
      <c r="A189" s="55">
        <v>44743</v>
      </c>
      <c r="B189" s="45">
        <v>0</v>
      </c>
      <c r="C189" s="45">
        <v>0.79139759999999959</v>
      </c>
      <c r="D189" s="45">
        <v>0</v>
      </c>
      <c r="E189" s="45">
        <v>0.77372460993160663</v>
      </c>
      <c r="F189" s="45">
        <v>0.79139759999999959</v>
      </c>
      <c r="G189" s="45">
        <v>0.77372460993160663</v>
      </c>
    </row>
    <row r="190" spans="1:7" ht="11.25" customHeight="1" x14ac:dyDescent="0.2">
      <c r="A190" s="55">
        <v>44774</v>
      </c>
      <c r="B190" s="45">
        <v>0</v>
      </c>
      <c r="C190" s="45">
        <v>0.79139759999999959</v>
      </c>
      <c r="D190" s="45">
        <v>0</v>
      </c>
      <c r="E190" s="45">
        <v>0.77372460993160663</v>
      </c>
      <c r="F190" s="45">
        <v>0.79139759999999959</v>
      </c>
      <c r="G190" s="45">
        <v>0.77372460993160663</v>
      </c>
    </row>
    <row r="191" spans="1:7" ht="11.25" customHeight="1" x14ac:dyDescent="0.2">
      <c r="A191" s="48" t="s">
        <v>43</v>
      </c>
      <c r="B191" s="45">
        <v>0</v>
      </c>
      <c r="C191" s="45">
        <v>249614.94740000003</v>
      </c>
      <c r="D191" s="45">
        <v>0</v>
      </c>
      <c r="E191" s="45">
        <v>139203.82772125161</v>
      </c>
      <c r="F191" s="45">
        <v>249614.94740000003</v>
      </c>
      <c r="G191" s="45">
        <v>139203.82772125161</v>
      </c>
    </row>
    <row r="192" spans="1:7" ht="11.25" customHeight="1" x14ac:dyDescent="0.2">
      <c r="A192" s="49" t="s">
        <v>23</v>
      </c>
      <c r="B192" s="45">
        <v>0</v>
      </c>
      <c r="C192" s="45">
        <v>249614.94740000003</v>
      </c>
      <c r="D192" s="45">
        <v>0</v>
      </c>
      <c r="E192" s="45">
        <v>139203.82772125161</v>
      </c>
      <c r="F192" s="45">
        <v>249614.94740000003</v>
      </c>
      <c r="G192" s="45">
        <v>139203.82772125161</v>
      </c>
    </row>
    <row r="193" spans="1:7" ht="11.25" customHeight="1" x14ac:dyDescent="0.2">
      <c r="A193" s="50" t="s">
        <v>44</v>
      </c>
      <c r="B193" s="45">
        <v>0</v>
      </c>
      <c r="C193" s="45">
        <v>249614.94740000003</v>
      </c>
      <c r="D193" s="45">
        <v>0</v>
      </c>
      <c r="E193" s="45">
        <v>139203.82772125161</v>
      </c>
      <c r="F193" s="45">
        <v>249614.94740000003</v>
      </c>
      <c r="G193" s="45">
        <v>139203.82772125161</v>
      </c>
    </row>
    <row r="194" spans="1:7" ht="11.25" customHeight="1" x14ac:dyDescent="0.2">
      <c r="A194" s="51" t="s">
        <v>52</v>
      </c>
      <c r="B194" s="45">
        <v>0</v>
      </c>
      <c r="C194" s="45">
        <v>1965.8698000000004</v>
      </c>
      <c r="D194" s="45">
        <v>0</v>
      </c>
      <c r="E194" s="45">
        <v>1096.314959548818</v>
      </c>
      <c r="F194" s="45">
        <v>1965.8698000000002</v>
      </c>
      <c r="G194" s="45">
        <v>1096.314959548818</v>
      </c>
    </row>
    <row r="195" spans="1:7" ht="11.25" customHeight="1" x14ac:dyDescent="0.2">
      <c r="A195" s="52" t="s">
        <v>53</v>
      </c>
      <c r="B195" s="45">
        <v>0</v>
      </c>
      <c r="C195" s="45">
        <v>1965.8698000000004</v>
      </c>
      <c r="D195" s="45">
        <v>0</v>
      </c>
      <c r="E195" s="45">
        <v>1096.314959548818</v>
      </c>
      <c r="F195" s="45">
        <v>1965.8698000000002</v>
      </c>
      <c r="G195" s="45">
        <v>1096.314959548818</v>
      </c>
    </row>
    <row r="196" spans="1:7" ht="11.25" customHeight="1" x14ac:dyDescent="0.2">
      <c r="A196" s="53" t="s">
        <v>25</v>
      </c>
      <c r="B196" s="45">
        <v>0</v>
      </c>
      <c r="C196" s="45">
        <v>1965.8698000000004</v>
      </c>
      <c r="D196" s="45">
        <v>0</v>
      </c>
      <c r="E196" s="45">
        <v>1096.314959548818</v>
      </c>
      <c r="F196" s="45">
        <v>1965.8698000000002</v>
      </c>
      <c r="G196" s="45">
        <v>1096.314959548818</v>
      </c>
    </row>
    <row r="197" spans="1:7" ht="11.25" customHeight="1" x14ac:dyDescent="0.2">
      <c r="A197" s="54" t="s">
        <v>25</v>
      </c>
      <c r="B197" s="45">
        <v>0</v>
      </c>
      <c r="C197" s="45">
        <v>1965.8698000000004</v>
      </c>
      <c r="D197" s="45">
        <v>0</v>
      </c>
      <c r="E197" s="45">
        <v>1096.314959548818</v>
      </c>
      <c r="F197" s="45">
        <v>1965.8698000000002</v>
      </c>
      <c r="G197" s="45">
        <v>1096.314959548818</v>
      </c>
    </row>
    <row r="198" spans="1:7" ht="11.25" customHeight="1" x14ac:dyDescent="0.2">
      <c r="A198" s="55">
        <v>44440</v>
      </c>
      <c r="B198" s="45">
        <v>0</v>
      </c>
      <c r="C198" s="45">
        <v>73.50800000000001</v>
      </c>
      <c r="D198" s="45">
        <v>0</v>
      </c>
      <c r="E198" s="45">
        <v>40.993518516086112</v>
      </c>
      <c r="F198" s="45">
        <v>73.50800000000001</v>
      </c>
      <c r="G198" s="45">
        <v>40.993518516086112</v>
      </c>
    </row>
    <row r="199" spans="1:7" ht="11.25" customHeight="1" x14ac:dyDescent="0.2">
      <c r="A199" s="55">
        <v>44470</v>
      </c>
      <c r="B199" s="45">
        <v>0</v>
      </c>
      <c r="C199" s="45">
        <v>85.238000000000028</v>
      </c>
      <c r="D199" s="45">
        <v>0</v>
      </c>
      <c r="E199" s="45">
        <v>47.535037428227525</v>
      </c>
      <c r="F199" s="45">
        <v>85.238000000000028</v>
      </c>
      <c r="G199" s="45">
        <v>47.535037428227525</v>
      </c>
    </row>
    <row r="200" spans="1:7" ht="11.25" customHeight="1" x14ac:dyDescent="0.2">
      <c r="A200" s="55">
        <v>44501</v>
      </c>
      <c r="B200" s="45">
        <v>0</v>
      </c>
      <c r="C200" s="45">
        <v>184.16100000000003</v>
      </c>
      <c r="D200" s="45">
        <v>0</v>
      </c>
      <c r="E200" s="45">
        <v>102.70184692062</v>
      </c>
      <c r="F200" s="45">
        <v>184.16100000000003</v>
      </c>
      <c r="G200" s="45">
        <v>102.70184692062</v>
      </c>
    </row>
    <row r="201" spans="1:7" ht="11.25" customHeight="1" x14ac:dyDescent="0.2">
      <c r="A201" s="55">
        <v>44531</v>
      </c>
      <c r="B201" s="45">
        <v>0</v>
      </c>
      <c r="C201" s="45">
        <v>263.76860000000005</v>
      </c>
      <c r="D201" s="45">
        <v>0</v>
      </c>
      <c r="E201" s="45">
        <v>147.09695527101965</v>
      </c>
      <c r="F201" s="45">
        <v>263.76860000000005</v>
      </c>
      <c r="G201" s="45">
        <v>147.09695527101965</v>
      </c>
    </row>
    <row r="202" spans="1:7" ht="11.25" customHeight="1" x14ac:dyDescent="0.2">
      <c r="A202" s="55">
        <v>44562</v>
      </c>
      <c r="B202" s="45">
        <v>0</v>
      </c>
      <c r="C202" s="45">
        <v>198.31520000000003</v>
      </c>
      <c r="D202" s="45">
        <v>0</v>
      </c>
      <c r="E202" s="45">
        <v>110.59527974127063</v>
      </c>
      <c r="F202" s="45">
        <v>198.31520000000003</v>
      </c>
      <c r="G202" s="45">
        <v>110.59527974127063</v>
      </c>
    </row>
    <row r="203" spans="1:7" ht="11.25" customHeight="1" x14ac:dyDescent="0.2">
      <c r="A203" s="55">
        <v>44593</v>
      </c>
      <c r="B203" s="45">
        <v>0</v>
      </c>
      <c r="C203" s="45">
        <v>250.78740000000005</v>
      </c>
      <c r="D203" s="45">
        <v>0</v>
      </c>
      <c r="E203" s="45">
        <v>139.85767434158316</v>
      </c>
      <c r="F203" s="45">
        <v>250.78740000000005</v>
      </c>
      <c r="G203" s="45">
        <v>139.85767434158316</v>
      </c>
    </row>
    <row r="204" spans="1:7" ht="11.25" customHeight="1" x14ac:dyDescent="0.2">
      <c r="A204" s="55">
        <v>44621</v>
      </c>
      <c r="B204" s="45">
        <v>0</v>
      </c>
      <c r="C204" s="45">
        <v>643.19500000000016</v>
      </c>
      <c r="D204" s="45">
        <v>0</v>
      </c>
      <c r="E204" s="45">
        <v>358.69328701575353</v>
      </c>
      <c r="F204" s="45">
        <v>643.19500000000016</v>
      </c>
      <c r="G204" s="45">
        <v>358.69328701575353</v>
      </c>
    </row>
    <row r="205" spans="1:7" ht="11.25" customHeight="1" x14ac:dyDescent="0.2">
      <c r="A205" s="55">
        <v>44652</v>
      </c>
      <c r="B205" s="45">
        <v>0</v>
      </c>
      <c r="C205" s="45">
        <v>-284.41340000000002</v>
      </c>
      <c r="D205" s="45">
        <v>0</v>
      </c>
      <c r="E205" s="45">
        <v>-158.61002855638853</v>
      </c>
      <c r="F205" s="45">
        <v>-284.41340000000002</v>
      </c>
      <c r="G205" s="45">
        <v>-158.61002855638853</v>
      </c>
    </row>
    <row r="206" spans="1:7" ht="11.25" customHeight="1" x14ac:dyDescent="0.2">
      <c r="A206" s="55">
        <v>44682</v>
      </c>
      <c r="B206" s="45">
        <v>0</v>
      </c>
      <c r="C206" s="45">
        <v>127.15320000000001</v>
      </c>
      <c r="D206" s="45">
        <v>0</v>
      </c>
      <c r="E206" s="45">
        <v>70.910065007612786</v>
      </c>
      <c r="F206" s="45">
        <v>127.15320000000001</v>
      </c>
      <c r="G206" s="45">
        <v>70.910065007612786</v>
      </c>
    </row>
    <row r="207" spans="1:7" ht="11.25" customHeight="1" x14ac:dyDescent="0.2">
      <c r="A207" s="55">
        <v>44713</v>
      </c>
      <c r="B207" s="45">
        <v>0</v>
      </c>
      <c r="C207" s="45">
        <v>137.94480000000004</v>
      </c>
      <c r="D207" s="45">
        <v>0</v>
      </c>
      <c r="E207" s="45">
        <v>76.928262406782878</v>
      </c>
      <c r="F207" s="45">
        <v>137.94480000000004</v>
      </c>
      <c r="G207" s="45">
        <v>76.928262406782878</v>
      </c>
    </row>
    <row r="208" spans="1:7" ht="11.25" customHeight="1" x14ac:dyDescent="0.2">
      <c r="A208" s="55">
        <v>44743</v>
      </c>
      <c r="B208" s="45">
        <v>0</v>
      </c>
      <c r="C208" s="45">
        <v>143.10600000000002</v>
      </c>
      <c r="D208" s="45">
        <v>0</v>
      </c>
      <c r="E208" s="45">
        <v>79.806530728125097</v>
      </c>
      <c r="F208" s="45">
        <v>143.10600000000002</v>
      </c>
      <c r="G208" s="45">
        <v>79.806530728125097</v>
      </c>
    </row>
    <row r="209" spans="1:7" ht="11.25" customHeight="1" x14ac:dyDescent="0.2">
      <c r="A209" s="55">
        <v>44774</v>
      </c>
      <c r="B209" s="45">
        <v>0</v>
      </c>
      <c r="C209" s="45">
        <v>143.10600000000002</v>
      </c>
      <c r="D209" s="45">
        <v>0</v>
      </c>
      <c r="E209" s="45">
        <v>79.806530728125097</v>
      </c>
      <c r="F209" s="45">
        <v>143.10600000000002</v>
      </c>
      <c r="G209" s="45">
        <v>79.806530728125097</v>
      </c>
    </row>
    <row r="210" spans="1:7" ht="11.25" customHeight="1" x14ac:dyDescent="0.2">
      <c r="A210" s="51" t="s">
        <v>25</v>
      </c>
      <c r="B210" s="45">
        <v>0</v>
      </c>
      <c r="C210" s="45">
        <v>247649.07760000005</v>
      </c>
      <c r="D210" s="45">
        <v>0</v>
      </c>
      <c r="E210" s="45">
        <v>138107.51276170279</v>
      </c>
      <c r="F210" s="45">
        <v>247649.07760000005</v>
      </c>
      <c r="G210" s="45">
        <v>138107.51276170279</v>
      </c>
    </row>
    <row r="211" spans="1:7" ht="11.25" customHeight="1" x14ac:dyDescent="0.2">
      <c r="A211" s="52" t="s">
        <v>25</v>
      </c>
      <c r="B211" s="45">
        <v>0</v>
      </c>
      <c r="C211" s="45">
        <v>247649.07760000005</v>
      </c>
      <c r="D211" s="45">
        <v>0</v>
      </c>
      <c r="E211" s="45">
        <v>138107.51276170279</v>
      </c>
      <c r="F211" s="45">
        <v>247649.07760000005</v>
      </c>
      <c r="G211" s="45">
        <v>138107.51276170279</v>
      </c>
    </row>
    <row r="212" spans="1:7" ht="11.25" customHeight="1" x14ac:dyDescent="0.2">
      <c r="A212" s="53" t="s">
        <v>25</v>
      </c>
      <c r="B212" s="45">
        <v>0</v>
      </c>
      <c r="C212" s="45">
        <v>247649.07760000005</v>
      </c>
      <c r="D212" s="45">
        <v>0</v>
      </c>
      <c r="E212" s="45">
        <v>138107.51276170279</v>
      </c>
      <c r="F212" s="45">
        <v>247649.07760000005</v>
      </c>
      <c r="G212" s="45">
        <v>138107.51276170279</v>
      </c>
    </row>
    <row r="213" spans="1:7" ht="11.25" customHeight="1" x14ac:dyDescent="0.2">
      <c r="A213" s="54" t="s">
        <v>25</v>
      </c>
      <c r="B213" s="45">
        <v>0</v>
      </c>
      <c r="C213" s="45">
        <v>247649.07760000005</v>
      </c>
      <c r="D213" s="45">
        <v>0</v>
      </c>
      <c r="E213" s="45">
        <v>138107.51276170279</v>
      </c>
      <c r="F213" s="45">
        <v>247649.07760000005</v>
      </c>
      <c r="G213" s="45">
        <v>138107.51276170279</v>
      </c>
    </row>
    <row r="214" spans="1:7" ht="11.25" customHeight="1" x14ac:dyDescent="0.2">
      <c r="A214" s="55">
        <v>44440</v>
      </c>
      <c r="B214" s="45">
        <v>0</v>
      </c>
      <c r="C214" s="45">
        <v>19149.850600000002</v>
      </c>
      <c r="D214" s="45">
        <v>0</v>
      </c>
      <c r="E214" s="45">
        <v>10679.378505079487</v>
      </c>
      <c r="F214" s="45">
        <v>19149.850600000002</v>
      </c>
      <c r="G214" s="45">
        <v>10679.378505079487</v>
      </c>
    </row>
    <row r="215" spans="1:7" ht="11.25" customHeight="1" x14ac:dyDescent="0.2">
      <c r="A215" s="55">
        <v>44470</v>
      </c>
      <c r="B215" s="45">
        <v>0</v>
      </c>
      <c r="C215" s="45">
        <v>23681.697000000004</v>
      </c>
      <c r="D215" s="45">
        <v>0</v>
      </c>
      <c r="E215" s="45">
        <v>13206.672531722274</v>
      </c>
      <c r="F215" s="45">
        <v>23681.697000000004</v>
      </c>
      <c r="G215" s="45">
        <v>13206.672531722274</v>
      </c>
    </row>
    <row r="216" spans="1:7" ht="11.25" customHeight="1" x14ac:dyDescent="0.2">
      <c r="A216" s="55">
        <v>44501</v>
      </c>
      <c r="B216" s="45">
        <v>0</v>
      </c>
      <c r="C216" s="45">
        <v>26194.497600000002</v>
      </c>
      <c r="D216" s="45">
        <v>0</v>
      </c>
      <c r="E216" s="45">
        <v>14607.996713081206</v>
      </c>
      <c r="F216" s="45">
        <v>26194.497600000002</v>
      </c>
      <c r="G216" s="45">
        <v>14607.996713081206</v>
      </c>
    </row>
    <row r="217" spans="1:7" ht="11.25" customHeight="1" x14ac:dyDescent="0.2">
      <c r="A217" s="55">
        <v>44531</v>
      </c>
      <c r="B217" s="45">
        <v>0</v>
      </c>
      <c r="C217" s="45">
        <v>25103.920400000006</v>
      </c>
      <c r="D217" s="45">
        <v>0</v>
      </c>
      <c r="E217" s="45">
        <v>13999.809894756381</v>
      </c>
      <c r="F217" s="45">
        <v>25103.920400000006</v>
      </c>
      <c r="G217" s="45">
        <v>13999.809894756381</v>
      </c>
    </row>
    <row r="218" spans="1:7" ht="11.25" customHeight="1" x14ac:dyDescent="0.2">
      <c r="A218" s="55">
        <v>44562</v>
      </c>
      <c r="B218" s="45">
        <v>0</v>
      </c>
      <c r="C218" s="45">
        <v>25154.515800000005</v>
      </c>
      <c r="D218" s="45">
        <v>0</v>
      </c>
      <c r="E218" s="45">
        <v>14028.025646330751</v>
      </c>
      <c r="F218" s="45">
        <v>25154.515800000005</v>
      </c>
      <c r="G218" s="45">
        <v>14028.025646330751</v>
      </c>
    </row>
    <row r="219" spans="1:7" ht="11.25" customHeight="1" x14ac:dyDescent="0.2">
      <c r="A219" s="55">
        <v>44593</v>
      </c>
      <c r="B219" s="45">
        <v>0</v>
      </c>
      <c r="C219" s="45">
        <v>21118.301000000003</v>
      </c>
      <c r="D219" s="45">
        <v>0</v>
      </c>
      <c r="E219" s="45">
        <v>11777.132598788976</v>
      </c>
      <c r="F219" s="45">
        <v>21118.301000000003</v>
      </c>
      <c r="G219" s="45">
        <v>11777.132598788976</v>
      </c>
    </row>
    <row r="220" spans="1:7" ht="11.25" customHeight="1" x14ac:dyDescent="0.2">
      <c r="A220" s="55">
        <v>44621</v>
      </c>
      <c r="B220" s="45">
        <v>0</v>
      </c>
      <c r="C220" s="45">
        <v>19703.7412</v>
      </c>
      <c r="D220" s="45">
        <v>0</v>
      </c>
      <c r="E220" s="45">
        <v>10988.269028110801</v>
      </c>
      <c r="F220" s="45">
        <v>19703.7412</v>
      </c>
      <c r="G220" s="45">
        <v>10988.269028110801</v>
      </c>
    </row>
    <row r="221" spans="1:7" ht="11.25" customHeight="1" x14ac:dyDescent="0.2">
      <c r="A221" s="55">
        <v>44652</v>
      </c>
      <c r="B221" s="45">
        <v>0</v>
      </c>
      <c r="C221" s="45">
        <v>18040.036200000006</v>
      </c>
      <c r="D221" s="45">
        <v>0</v>
      </c>
      <c r="E221" s="45">
        <v>10060.463595738747</v>
      </c>
      <c r="F221" s="45">
        <v>18040.036200000006</v>
      </c>
      <c r="G221" s="45">
        <v>10060.463595738747</v>
      </c>
    </row>
    <row r="222" spans="1:7" ht="11.25" customHeight="1" x14ac:dyDescent="0.2">
      <c r="A222" s="55">
        <v>44682</v>
      </c>
      <c r="B222" s="45">
        <v>0</v>
      </c>
      <c r="C222" s="45">
        <v>16846.547800000004</v>
      </c>
      <c r="D222" s="45">
        <v>0</v>
      </c>
      <c r="E222" s="45">
        <v>9394.8858514913991</v>
      </c>
      <c r="F222" s="45">
        <v>16846.547800000004</v>
      </c>
      <c r="G222" s="45">
        <v>9394.8858514913991</v>
      </c>
    </row>
    <row r="223" spans="1:7" ht="11.25" customHeight="1" x14ac:dyDescent="0.2">
      <c r="A223" s="55">
        <v>44713</v>
      </c>
      <c r="B223" s="45">
        <v>0</v>
      </c>
      <c r="C223" s="45">
        <v>18243.590800000002</v>
      </c>
      <c r="D223" s="45">
        <v>0</v>
      </c>
      <c r="E223" s="45">
        <v>10173.980753927441</v>
      </c>
      <c r="F223" s="45">
        <v>18243.590800000002</v>
      </c>
      <c r="G223" s="45">
        <v>10173.980753927441</v>
      </c>
    </row>
    <row r="224" spans="1:7" ht="11.25" customHeight="1" x14ac:dyDescent="0.2">
      <c r="A224" s="55">
        <v>44743</v>
      </c>
      <c r="B224" s="45">
        <v>0</v>
      </c>
      <c r="C224" s="45">
        <v>17206.189600000005</v>
      </c>
      <c r="D224" s="45">
        <v>0</v>
      </c>
      <c r="E224" s="45">
        <v>9595.4488213376553</v>
      </c>
      <c r="F224" s="45">
        <v>17206.189600000005</v>
      </c>
      <c r="G224" s="45">
        <v>9595.4488213376553</v>
      </c>
    </row>
    <row r="225" spans="1:7" ht="11.25" customHeight="1" x14ac:dyDescent="0.2">
      <c r="A225" s="55">
        <v>44774</v>
      </c>
      <c r="B225" s="45">
        <v>0</v>
      </c>
      <c r="C225" s="45">
        <v>17206.189600000005</v>
      </c>
      <c r="D225" s="45">
        <v>0</v>
      </c>
      <c r="E225" s="45">
        <v>9595.4488213376553</v>
      </c>
      <c r="F225" s="45">
        <v>17206.189600000005</v>
      </c>
      <c r="G225" s="45">
        <v>9595.4488213376553</v>
      </c>
    </row>
    <row r="226" spans="1:7" ht="11.25" customHeight="1" x14ac:dyDescent="0.2">
      <c r="A226" s="47" t="s">
        <v>657</v>
      </c>
      <c r="B226" s="45">
        <v>0</v>
      </c>
      <c r="C226" s="45">
        <v>0</v>
      </c>
      <c r="D226" s="45">
        <v>0</v>
      </c>
      <c r="E226" s="45">
        <v>0</v>
      </c>
      <c r="F226" s="45">
        <v>0</v>
      </c>
      <c r="G226" s="45">
        <v>0</v>
      </c>
    </row>
    <row r="227" spans="1:7" ht="11.25" customHeight="1" x14ac:dyDescent="0.2">
      <c r="A227" s="48" t="s">
        <v>22</v>
      </c>
      <c r="B227" s="45">
        <v>0</v>
      </c>
      <c r="C227" s="45">
        <v>0</v>
      </c>
      <c r="D227" s="45">
        <v>0</v>
      </c>
      <c r="E227" s="45">
        <v>0</v>
      </c>
      <c r="F227" s="45">
        <v>0</v>
      </c>
      <c r="G227" s="45">
        <v>0</v>
      </c>
    </row>
    <row r="228" spans="1:7" ht="11.25" customHeight="1" x14ac:dyDescent="0.2">
      <c r="A228" s="49" t="s">
        <v>23</v>
      </c>
      <c r="B228" s="45">
        <v>0</v>
      </c>
      <c r="C228" s="45">
        <v>0</v>
      </c>
      <c r="D228" s="45">
        <v>0</v>
      </c>
      <c r="E228" s="45">
        <v>0</v>
      </c>
      <c r="F228" s="45">
        <v>0</v>
      </c>
      <c r="G228" s="45">
        <v>0</v>
      </c>
    </row>
    <row r="229" spans="1:7" ht="11.25" customHeight="1" x14ac:dyDescent="0.2">
      <c r="A229" s="50" t="s">
        <v>24</v>
      </c>
      <c r="B229" s="45">
        <v>0</v>
      </c>
      <c r="C229" s="45">
        <v>0</v>
      </c>
      <c r="D229" s="45">
        <v>0</v>
      </c>
      <c r="E229" s="45">
        <v>0</v>
      </c>
      <c r="F229" s="45">
        <v>0</v>
      </c>
      <c r="G229" s="45">
        <v>0</v>
      </c>
    </row>
    <row r="230" spans="1:7" ht="11.25" customHeight="1" x14ac:dyDescent="0.2">
      <c r="A230" s="51" t="s">
        <v>24</v>
      </c>
      <c r="B230" s="45">
        <v>0</v>
      </c>
      <c r="C230" s="45">
        <v>0</v>
      </c>
      <c r="D230" s="45">
        <v>0</v>
      </c>
      <c r="E230" s="45">
        <v>0</v>
      </c>
      <c r="F230" s="45">
        <v>0</v>
      </c>
      <c r="G230" s="45">
        <v>0</v>
      </c>
    </row>
    <row r="231" spans="1:7" ht="11.25" customHeight="1" x14ac:dyDescent="0.2">
      <c r="A231" s="52" t="s">
        <v>25</v>
      </c>
      <c r="B231" s="45">
        <v>0</v>
      </c>
      <c r="C231" s="45">
        <v>0</v>
      </c>
      <c r="D231" s="45">
        <v>0</v>
      </c>
      <c r="E231" s="45">
        <v>0</v>
      </c>
      <c r="F231" s="45">
        <v>0</v>
      </c>
      <c r="G231" s="45">
        <v>0</v>
      </c>
    </row>
    <row r="232" spans="1:7" ht="11.25" customHeight="1" x14ac:dyDescent="0.2">
      <c r="A232" s="53" t="s">
        <v>25</v>
      </c>
      <c r="B232" s="45">
        <v>0</v>
      </c>
      <c r="C232" s="45">
        <v>0</v>
      </c>
      <c r="D232" s="45">
        <v>0</v>
      </c>
      <c r="E232" s="45">
        <v>0</v>
      </c>
      <c r="F232" s="45">
        <v>0</v>
      </c>
      <c r="G232" s="45">
        <v>0</v>
      </c>
    </row>
    <row r="233" spans="1:7" ht="11.25" customHeight="1" x14ac:dyDescent="0.2">
      <c r="A233" s="54" t="s">
        <v>25</v>
      </c>
      <c r="B233" s="45">
        <v>0</v>
      </c>
      <c r="C233" s="45">
        <v>0</v>
      </c>
      <c r="D233" s="45">
        <v>0</v>
      </c>
      <c r="E233" s="45">
        <v>0</v>
      </c>
      <c r="F233" s="45">
        <v>0</v>
      </c>
      <c r="G233" s="45">
        <v>0</v>
      </c>
    </row>
    <row r="234" spans="1:7" ht="11.25" customHeight="1" x14ac:dyDescent="0.2">
      <c r="A234" s="55">
        <v>44440</v>
      </c>
      <c r="B234" s="45">
        <v>0</v>
      </c>
      <c r="C234" s="45">
        <v>0</v>
      </c>
      <c r="D234" s="45">
        <v>0</v>
      </c>
      <c r="E234" s="45">
        <v>0</v>
      </c>
      <c r="F234" s="45">
        <v>0</v>
      </c>
      <c r="G234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AB77-E765-41D3-B186-A3707E640164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5" t="s">
        <v>723</v>
      </c>
      <c r="B1" s="105"/>
      <c r="C1" s="105"/>
      <c r="D1" s="105"/>
      <c r="E1" s="105"/>
      <c r="F1" s="105"/>
      <c r="G1" s="105"/>
      <c r="H1" s="105"/>
      <c r="I1" s="105"/>
      <c r="J1" s="105"/>
      <c r="L1" s="85" t="s">
        <v>733</v>
      </c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2" ht="11.25" customHeight="1" x14ac:dyDescent="0.25">
      <c r="A2" s="100" t="s">
        <v>62</v>
      </c>
      <c r="B2" s="100" t="s">
        <v>63</v>
      </c>
      <c r="C2" s="100" t="s">
        <v>724</v>
      </c>
      <c r="D2" s="100" t="s">
        <v>68</v>
      </c>
      <c r="E2" s="100" t="s">
        <v>725</v>
      </c>
      <c r="F2" s="104"/>
      <c r="G2" s="104"/>
      <c r="H2" s="100" t="s">
        <v>488</v>
      </c>
      <c r="I2" s="104"/>
      <c r="J2" s="104"/>
      <c r="L2" s="100" t="s">
        <v>62</v>
      </c>
      <c r="M2" s="100" t="s">
        <v>63</v>
      </c>
      <c r="N2" s="100" t="s">
        <v>64</v>
      </c>
      <c r="O2" s="100" t="s">
        <v>65</v>
      </c>
      <c r="P2" s="100" t="s">
        <v>68</v>
      </c>
      <c r="Q2" s="100" t="s">
        <v>725</v>
      </c>
      <c r="R2" s="106"/>
      <c r="S2" s="106"/>
      <c r="T2" s="100" t="s">
        <v>488</v>
      </c>
      <c r="U2" s="106"/>
      <c r="V2" s="106"/>
    </row>
    <row r="3" spans="1:22" ht="11.25" customHeight="1" x14ac:dyDescent="0.25">
      <c r="A3" s="104"/>
      <c r="B3" s="104"/>
      <c r="C3" s="104"/>
      <c r="D3" s="104"/>
      <c r="E3" s="100" t="s">
        <v>446</v>
      </c>
      <c r="F3" s="104"/>
      <c r="G3" s="36" t="s">
        <v>474</v>
      </c>
      <c r="H3" s="100" t="s">
        <v>446</v>
      </c>
      <c r="I3" s="104"/>
      <c r="J3" s="36" t="s">
        <v>474</v>
      </c>
      <c r="L3" s="106"/>
      <c r="M3" s="106"/>
      <c r="N3" s="106"/>
      <c r="O3" s="106"/>
      <c r="P3" s="106"/>
      <c r="Q3" s="100" t="s">
        <v>446</v>
      </c>
      <c r="R3" s="106"/>
      <c r="S3" s="36" t="s">
        <v>474</v>
      </c>
      <c r="T3" s="100" t="s">
        <v>446</v>
      </c>
      <c r="U3" s="106"/>
      <c r="V3" s="36" t="s">
        <v>474</v>
      </c>
    </row>
    <row r="4" spans="1:22" ht="11.25" customHeight="1" x14ac:dyDescent="0.25">
      <c r="A4" s="104"/>
      <c r="B4" s="104"/>
      <c r="C4" s="104"/>
      <c r="D4" s="104"/>
      <c r="E4" s="36" t="s">
        <v>726</v>
      </c>
      <c r="F4" s="36" t="s">
        <v>727</v>
      </c>
      <c r="G4" s="36" t="s">
        <v>727</v>
      </c>
      <c r="H4" s="36" t="s">
        <v>726</v>
      </c>
      <c r="I4" s="36" t="s">
        <v>727</v>
      </c>
      <c r="J4" s="36" t="s">
        <v>727</v>
      </c>
      <c r="L4" s="106"/>
      <c r="M4" s="106"/>
      <c r="N4" s="106"/>
      <c r="O4" s="106"/>
      <c r="P4" s="106"/>
      <c r="Q4" s="36" t="s">
        <v>726</v>
      </c>
      <c r="R4" s="36" t="s">
        <v>727</v>
      </c>
      <c r="S4" s="36" t="s">
        <v>727</v>
      </c>
      <c r="T4" s="36" t="s">
        <v>726</v>
      </c>
      <c r="U4" s="36" t="s">
        <v>727</v>
      </c>
      <c r="V4" s="36" t="s">
        <v>727</v>
      </c>
    </row>
    <row r="5" spans="1:22" ht="11.25" customHeight="1" x14ac:dyDescent="0.25">
      <c r="A5" s="103" t="s">
        <v>35</v>
      </c>
      <c r="B5" s="103" t="s">
        <v>36</v>
      </c>
      <c r="C5" s="103" t="s">
        <v>25</v>
      </c>
      <c r="D5" s="37" t="s">
        <v>728</v>
      </c>
      <c r="E5" s="35">
        <f ca="1">ROUND('TUSD BE'!$AM$5+'TUSD BF'!$AM$5+'TUSD CVA'!$AM$5,2)</f>
        <v>105.27</v>
      </c>
      <c r="F5" s="35">
        <f ca="1">ROUND('TUSD BE'!$AM$7+'TUSD BF'!$AM$7+'TUSD CVA'!$AM$7,2)</f>
        <v>94.52</v>
      </c>
      <c r="G5" s="35">
        <f>ROUND('TE BE'!$AB$5+'TE BF'!$AB$5+'TE CVA'!$AB$5,2)</f>
        <v>136.62</v>
      </c>
      <c r="H5" s="35">
        <f ca="1">ROUND('TUSD BE'!$AM$5,2)</f>
        <v>107.85</v>
      </c>
      <c r="I5" s="35">
        <f ca="1">ROUND('TUSD BE'!$AM$7,2)</f>
        <v>97.74</v>
      </c>
      <c r="J5" s="35">
        <f>ROUND('TE BE'!$AB$5,2)</f>
        <v>147.06</v>
      </c>
      <c r="L5" s="107" t="s">
        <v>22</v>
      </c>
      <c r="M5" s="107" t="s">
        <v>734</v>
      </c>
      <c r="N5" s="107" t="s">
        <v>735</v>
      </c>
      <c r="O5" s="107" t="s">
        <v>735</v>
      </c>
      <c r="P5" s="37" t="s">
        <v>728</v>
      </c>
      <c r="Q5" s="35">
        <v>0</v>
      </c>
      <c r="R5" s="35">
        <f ca="1">ROUND('TUSD BE'!$AM$17+'TUSD BF'!$AM$17+'TUSD CVA'!$AM$17,2)</f>
        <v>1396.59</v>
      </c>
      <c r="S5" s="35">
        <f>ROUND('TE BE'!$AB$7+'TE BF'!$AB$7+'TE CVA'!$AB$7,2)</f>
        <v>136.62</v>
      </c>
      <c r="T5" s="35">
        <v>0</v>
      </c>
      <c r="U5" s="35">
        <f ca="1">ROUND('TUSD BE'!$AM$17,2)</f>
        <v>1438.47</v>
      </c>
      <c r="V5" s="35">
        <f>ROUND('TE BE'!$AB$7,2)</f>
        <v>147.06</v>
      </c>
    </row>
    <row r="6" spans="1:22" ht="11.25" customHeight="1" x14ac:dyDescent="0.25">
      <c r="A6" s="104"/>
      <c r="B6" s="104"/>
      <c r="C6" s="104"/>
      <c r="D6" s="37" t="s">
        <v>729</v>
      </c>
      <c r="E6" s="35">
        <f ca="1">ROUND('TUSD BE'!$AM$6+'TUSD BF'!$AM$6+'TUSD CVA'!$AM$6,2)</f>
        <v>37.72</v>
      </c>
      <c r="F6" s="35">
        <f ca="1">ROUND('TUSD BE'!$AM$7+'TUSD BF'!$AM$7+'TUSD CVA'!$AM$7,2)</f>
        <v>94.52</v>
      </c>
      <c r="G6" s="35">
        <f>ROUND('TE BE'!$AB$6+'TE BF'!$AB$6+'TE CVA'!$AB$6,2)</f>
        <v>136.62</v>
      </c>
      <c r="H6" s="35">
        <f ca="1">ROUND('TUSD BE'!$AM$6,2)</f>
        <v>38.15</v>
      </c>
      <c r="I6" s="35">
        <f ca="1">ROUND('TUSD BE'!$AM$7,2)</f>
        <v>97.74</v>
      </c>
      <c r="J6" s="35">
        <f>ROUND('TE BE'!$AB$6,2)</f>
        <v>147.06</v>
      </c>
      <c r="L6" s="108"/>
      <c r="M6" s="108"/>
      <c r="N6" s="108"/>
      <c r="O6" s="108"/>
      <c r="P6" s="37" t="s">
        <v>736</v>
      </c>
      <c r="Q6" s="35">
        <v>0</v>
      </c>
      <c r="R6" s="35">
        <f ca="1">ROUND('TUSD BE'!$AM$18+'TUSD BF'!$AM$18+'TUSD CVA'!$AM$18,2)</f>
        <v>884.32</v>
      </c>
      <c r="S6" s="35">
        <f>ROUND('TE BE'!$AB$8+'TE BF'!$AB$8+'TE CVA'!$AB$8,2)</f>
        <v>136.62</v>
      </c>
      <c r="T6" s="35">
        <v>0</v>
      </c>
      <c r="U6" s="35">
        <f ca="1">ROUND('TUSD BE'!$AM$18,2)</f>
        <v>911.11</v>
      </c>
      <c r="V6" s="35">
        <f>ROUND('TE BE'!$AB$8,2)</f>
        <v>147.06</v>
      </c>
    </row>
    <row r="7" spans="1:22" ht="11.25" customHeight="1" x14ac:dyDescent="0.25">
      <c r="A7" s="104"/>
      <c r="B7" s="103" t="s">
        <v>730</v>
      </c>
      <c r="C7" s="103" t="s">
        <v>25</v>
      </c>
      <c r="D7" s="37" t="s">
        <v>728</v>
      </c>
      <c r="E7" s="35">
        <f ca="1">ROUND('TUSD BE'!$AM$5+'TUSD BF'!$AM$5+'TUSD CVA'!$AM$5,2)</f>
        <v>105.27</v>
      </c>
      <c r="F7" s="35">
        <f ca="1">ROUND('TUSD BE'!$AM$8+'TUSD BF'!$AM$8+'TUSD CVA'!$AM$8,2)</f>
        <v>6.48</v>
      </c>
      <c r="G7" s="35">
        <v>0</v>
      </c>
      <c r="H7" s="35">
        <f ca="1">ROUND('TUSD BE'!$AM$5,2)</f>
        <v>107.85</v>
      </c>
      <c r="I7" s="35">
        <f ca="1">ROUND('TUSD BE'!$AM$8,2)</f>
        <v>6.96</v>
      </c>
      <c r="J7" s="35">
        <v>0</v>
      </c>
      <c r="L7" s="108"/>
      <c r="M7" s="109"/>
      <c r="N7" s="109"/>
      <c r="O7" s="109"/>
      <c r="P7" s="37" t="s">
        <v>729</v>
      </c>
      <c r="Q7" s="35">
        <v>0</v>
      </c>
      <c r="R7" s="35">
        <f ca="1">ROUND('TUSD BE'!$AM$19+'TUSD BF'!$AM$19+'TUSD CVA'!$AM$19,2)</f>
        <v>372</v>
      </c>
      <c r="S7" s="35">
        <f>ROUND('TE BE'!$AB$9+'TE BF'!$AB$9+'TE CVA'!$AB$9,2)</f>
        <v>136.62</v>
      </c>
      <c r="T7" s="35">
        <v>0</v>
      </c>
      <c r="U7" s="35">
        <f ca="1">ROUND('TUSD BE'!$AM$19,2)</f>
        <v>383.7</v>
      </c>
      <c r="V7" s="35">
        <f>ROUND('TE BE'!$AB$9,2)</f>
        <v>147.06</v>
      </c>
    </row>
    <row r="8" spans="1:22" ht="11.25" customHeight="1" x14ac:dyDescent="0.25">
      <c r="A8" s="104"/>
      <c r="B8" s="104"/>
      <c r="C8" s="104"/>
      <c r="D8" s="37" t="s">
        <v>729</v>
      </c>
      <c r="E8" s="35">
        <f ca="1">ROUND('TUSD BE'!$AM$6+'TUSD BF'!$AM$6+'TUSD CVA'!$AM$6,2)</f>
        <v>37.72</v>
      </c>
      <c r="F8" s="35">
        <f ca="1">ROUND('TUSD BE'!$AM$8+'TUSD BF'!$AM$8+'TUSD CVA'!$AM$8,2)</f>
        <v>6.48</v>
      </c>
      <c r="G8" s="35">
        <v>0</v>
      </c>
      <c r="H8" s="35">
        <f ca="1">ROUND('TUSD BE'!$AM$6,2)</f>
        <v>38.15</v>
      </c>
      <c r="I8" s="35">
        <f ca="1">ROUND('TUSD BE'!$AM$8,2)</f>
        <v>6.96</v>
      </c>
      <c r="J8" s="35">
        <v>0</v>
      </c>
      <c r="L8" s="108"/>
      <c r="M8" s="37" t="s">
        <v>737</v>
      </c>
      <c r="N8" s="37" t="s">
        <v>735</v>
      </c>
      <c r="O8" s="37" t="s">
        <v>735</v>
      </c>
      <c r="P8" s="37" t="s">
        <v>731</v>
      </c>
      <c r="Q8" s="35">
        <v>0</v>
      </c>
      <c r="R8" s="35">
        <f ca="1">ROUND('TUSD BE'!$AM$25+'TUSD BF'!$AM$25+'TUSD CVA'!$AM$25,2)</f>
        <v>590.21</v>
      </c>
      <c r="S8" s="35">
        <f>ROUND('TE BE'!$AB$15+'TE BF'!$AB$15+'TE CVA'!$AB$15,2)</f>
        <v>136.62</v>
      </c>
      <c r="T8" s="35">
        <v>0</v>
      </c>
      <c r="U8" s="35">
        <f ca="1">ROUND('TUSD BE'!$AM$25,2)</f>
        <v>608.34</v>
      </c>
      <c r="V8" s="35">
        <f>ROUND('TE BE'!$AB$15,2)</f>
        <v>147.06</v>
      </c>
    </row>
    <row r="9" spans="1:22" ht="11.25" customHeight="1" x14ac:dyDescent="0.25">
      <c r="A9" s="104"/>
      <c r="B9" s="103" t="s">
        <v>39</v>
      </c>
      <c r="C9" s="103" t="s">
        <v>25</v>
      </c>
      <c r="D9" s="37" t="s">
        <v>731</v>
      </c>
      <c r="E9" s="35">
        <f ca="1">ROUND('TUSD BE'!$AM$10+'TUSD BF'!$AM$10+'TUSD CVA'!$AM$10,2)</f>
        <v>37.72</v>
      </c>
      <c r="F9" s="35">
        <v>0</v>
      </c>
      <c r="G9" s="35">
        <v>0</v>
      </c>
      <c r="H9" s="35">
        <f ca="1">ROUND('TUSD BE'!$AM$10,2)</f>
        <v>38.15</v>
      </c>
      <c r="I9" s="35">
        <v>0</v>
      </c>
      <c r="J9" s="35">
        <v>0</v>
      </c>
      <c r="L9" s="108"/>
      <c r="M9" s="37" t="s">
        <v>739</v>
      </c>
      <c r="N9" s="37" t="s">
        <v>735</v>
      </c>
      <c r="O9" s="37" t="s">
        <v>735</v>
      </c>
      <c r="P9" s="37" t="s">
        <v>731</v>
      </c>
      <c r="Q9" s="35">
        <v>0</v>
      </c>
      <c r="R9" s="35">
        <f ca="1">ROUND('TUSD BE'!$AM$20+'TUSD BF'!$AM$20+'TUSD CVA'!$AM$20,2)</f>
        <v>590.21</v>
      </c>
      <c r="S9" s="35">
        <f>ROUND('TE BE'!$AB$10+'TE BF'!$AB$10+'TE CVA'!$AB$10,2)</f>
        <v>136.62</v>
      </c>
      <c r="T9" s="35">
        <v>0</v>
      </c>
      <c r="U9" s="35">
        <f ca="1">ROUND('TUSD BE'!$AM$20,2)</f>
        <v>608.34</v>
      </c>
      <c r="V9" s="35">
        <f>ROUND('TE BE'!$AB$10,2)</f>
        <v>147.06</v>
      </c>
    </row>
    <row r="10" spans="1:22" ht="11.25" customHeight="1" x14ac:dyDescent="0.25">
      <c r="A10" s="104"/>
      <c r="B10" s="104"/>
      <c r="C10" s="104"/>
      <c r="D10" s="37" t="s">
        <v>728</v>
      </c>
      <c r="E10" s="35">
        <v>0</v>
      </c>
      <c r="F10" s="35">
        <f ca="1">ROUND('TUSD BE'!$AM$11+'TUSD BF'!$AM$11+'TUSD CVA'!$AM$11,2)</f>
        <v>2626.68</v>
      </c>
      <c r="G10" s="35">
        <f>ROUND('TE BE'!$AB$5+'TE BF'!$AB$5+'TE CVA'!$AB$5,2)</f>
        <v>136.62</v>
      </c>
      <c r="H10" s="35">
        <v>0</v>
      </c>
      <c r="I10" s="35">
        <f ca="1">ROUND('TUSD BE'!$AM$11,2)</f>
        <v>2691.86</v>
      </c>
      <c r="J10" s="35">
        <f>ROUND('TE BE'!$AB$5,2)</f>
        <v>147.06</v>
      </c>
      <c r="L10" s="108"/>
      <c r="M10" s="37" t="s">
        <v>737</v>
      </c>
      <c r="N10" s="37" t="s">
        <v>735</v>
      </c>
      <c r="O10" s="37" t="s">
        <v>738</v>
      </c>
      <c r="P10" s="37" t="s">
        <v>731</v>
      </c>
      <c r="Q10" s="35">
        <v>0</v>
      </c>
      <c r="R10" s="35">
        <f ca="1">ROUND('TUSD BE'!$AM$26+'TUSD BF'!$AM$26+'TUSD CVA'!$AM$26,2)</f>
        <v>488.06</v>
      </c>
      <c r="S10" s="35">
        <f>ROUND('TE BE'!$AB$16+'TE BF'!$AB$16+'TE CVA'!$AB$16,2)</f>
        <v>136.62</v>
      </c>
      <c r="T10" s="35">
        <v>0</v>
      </c>
      <c r="U10" s="35">
        <f ca="1">ROUND('TUSD BE'!$AM$26,2)</f>
        <v>502.99</v>
      </c>
      <c r="V10" s="35">
        <f>ROUND('TE BE'!$AB$16,2)</f>
        <v>147.06</v>
      </c>
    </row>
    <row r="11" spans="1:22" ht="11.25" customHeight="1" x14ac:dyDescent="0.25">
      <c r="A11" s="104"/>
      <c r="B11" s="104"/>
      <c r="C11" s="104"/>
      <c r="D11" s="37" t="s">
        <v>729</v>
      </c>
      <c r="E11" s="35">
        <v>0</v>
      </c>
      <c r="F11" s="35">
        <f ca="1">ROUND('TUSD BE'!$AM$12+'TUSD BF'!$AM$12+'TUSD CVA'!$AM$12,2)</f>
        <v>94.52</v>
      </c>
      <c r="G11" s="35">
        <f>ROUND('TE BE'!$AB$6+'TE BF'!$AB$6+'TE CVA'!$AB$6,2)</f>
        <v>136.62</v>
      </c>
      <c r="H11" s="35">
        <v>0</v>
      </c>
      <c r="I11" s="35">
        <f ca="1">ROUND('TUSD BE'!$AM$12,2)</f>
        <v>97.74</v>
      </c>
      <c r="J11" s="35">
        <f>ROUND('TE BE'!$AB$6,2)</f>
        <v>147.06</v>
      </c>
      <c r="L11" s="109"/>
      <c r="M11" s="37" t="s">
        <v>739</v>
      </c>
      <c r="N11" s="37" t="s">
        <v>735</v>
      </c>
      <c r="O11" s="37" t="s">
        <v>738</v>
      </c>
      <c r="P11" s="37" t="s">
        <v>731</v>
      </c>
      <c r="Q11" s="35">
        <v>0</v>
      </c>
      <c r="R11" s="35">
        <f ca="1">ROUND('TUSD BE'!$AM$21+'TUSD BF'!$AM$21+'TUSD CVA'!$AM$21,2)</f>
        <v>488.06</v>
      </c>
      <c r="S11" s="35">
        <f>ROUND('TE BE'!$AB$11+'TE BF'!$AB$11+'TE CVA'!$AB$11,2)</f>
        <v>136.62</v>
      </c>
      <c r="T11" s="35">
        <v>0</v>
      </c>
      <c r="U11" s="35">
        <f ca="1">ROUND('TUSD BE'!$AM$21,2)</f>
        <v>502.99</v>
      </c>
      <c r="V11" s="35">
        <f>ROUND('TE BE'!$AB$11,2)</f>
        <v>147.06</v>
      </c>
    </row>
    <row r="12" spans="1:22" ht="11.25" customHeight="1" x14ac:dyDescent="0.25">
      <c r="A12" s="104"/>
      <c r="B12" s="103" t="s">
        <v>732</v>
      </c>
      <c r="C12" s="103" t="s">
        <v>25</v>
      </c>
      <c r="D12" s="37" t="s">
        <v>731</v>
      </c>
      <c r="E12" s="35">
        <f ca="1">ROUND('TUSD BE'!$AM$10+'TUSD BF'!$AM$10+'TUSD CVA'!$AM$10,2)</f>
        <v>37.72</v>
      </c>
      <c r="F12" s="35">
        <v>0</v>
      </c>
      <c r="G12" s="35">
        <v>0</v>
      </c>
      <c r="H12" s="35">
        <f ca="1">ROUND('TUSD BE'!$AM$10,2)</f>
        <v>38.15</v>
      </c>
      <c r="I12" s="35">
        <v>0</v>
      </c>
      <c r="J12" s="35">
        <v>0</v>
      </c>
      <c r="L12" s="107" t="s">
        <v>43</v>
      </c>
      <c r="M12" s="107" t="s">
        <v>734</v>
      </c>
      <c r="N12" s="107" t="s">
        <v>740</v>
      </c>
      <c r="O12" s="107" t="s">
        <v>741</v>
      </c>
      <c r="P12" s="37" t="s">
        <v>728</v>
      </c>
      <c r="Q12" s="35">
        <v>0</v>
      </c>
      <c r="R12" s="35">
        <f ca="1">ROUND(('TUSD BE'!$AM$30+'TUSD BF'!$AM$30+'TUSD CVA'!$AM$30)*(1-CUSTOS!$M$38),2)</f>
        <v>1424.31</v>
      </c>
      <c r="S12" s="35">
        <f>ROUND(('TE BE'!$AB$20+'TE BF'!$AB$20+'TE CVA'!$AB$20)*(1-CUSTOS!$M$38),2)</f>
        <v>128.43</v>
      </c>
      <c r="T12" s="35">
        <v>0</v>
      </c>
      <c r="U12" s="35">
        <f ca="1">ROUND('TUSD BE'!$AM$30*(1-CUSTOS!$M$38),2)</f>
        <v>1466.95</v>
      </c>
      <c r="V12" s="35">
        <f>ROUND('TE BE'!$AB$20*(1-CUSTOS!$M$38),2)</f>
        <v>138.24</v>
      </c>
    </row>
    <row r="13" spans="1:22" ht="11.25" customHeight="1" x14ac:dyDescent="0.25">
      <c r="A13" s="104"/>
      <c r="B13" s="104"/>
      <c r="C13" s="104"/>
      <c r="D13" s="37" t="s">
        <v>728</v>
      </c>
      <c r="E13" s="35">
        <v>0</v>
      </c>
      <c r="F13" s="35">
        <f ca="1">ROUND('TUSD BE'!$AM$13+'TUSD BF'!$AM$13+'TUSD CVA'!$AM$13,2)</f>
        <v>2538.65</v>
      </c>
      <c r="G13" s="35">
        <v>0</v>
      </c>
      <c r="H13" s="35">
        <v>0</v>
      </c>
      <c r="I13" s="35">
        <f ca="1">ROUND('TUSD BE'!$AM$13,2)</f>
        <v>2601.0700000000002</v>
      </c>
      <c r="J13" s="35">
        <v>0</v>
      </c>
      <c r="L13" s="108"/>
      <c r="M13" s="108"/>
      <c r="N13" s="108"/>
      <c r="O13" s="108"/>
      <c r="P13" s="37" t="s">
        <v>736</v>
      </c>
      <c r="Q13" s="35">
        <v>0</v>
      </c>
      <c r="R13" s="35">
        <f ca="1">ROUND(('TUSD BE'!$AM$31+'TUSD BF'!$AM$31+'TUSD CVA'!$AM$31)*(1-CUSTOS!$M$38),2)</f>
        <v>898.09</v>
      </c>
      <c r="S13" s="35">
        <f>ROUND(('TE BE'!$AB$21+'TE BF'!$AB$21+'TE CVA'!$AB$21)*(1-CUSTOS!$M$38),2)</f>
        <v>128.43</v>
      </c>
      <c r="T13" s="35">
        <v>0</v>
      </c>
      <c r="U13" s="35">
        <f ca="1">ROUND('TUSD BE'!$AM$31*(1-CUSTOS!$M$38),2)</f>
        <v>925.24</v>
      </c>
      <c r="V13" s="35">
        <f>ROUND('TE BE'!$AB$21*(1-CUSTOS!$M$38),2)</f>
        <v>138.24</v>
      </c>
    </row>
    <row r="14" spans="1:22" ht="11.25" customHeight="1" x14ac:dyDescent="0.25">
      <c r="A14" s="104"/>
      <c r="B14" s="104"/>
      <c r="C14" s="104"/>
      <c r="D14" s="37" t="s">
        <v>729</v>
      </c>
      <c r="E14" s="35">
        <v>0</v>
      </c>
      <c r="F14" s="35">
        <f ca="1">ROUND('TUSD BE'!$AM$14+'TUSD BF'!$AM$14+'TUSD CVA'!$AM$14,2)</f>
        <v>6.48</v>
      </c>
      <c r="G14" s="35">
        <v>0</v>
      </c>
      <c r="H14" s="35">
        <v>0</v>
      </c>
      <c r="I14" s="35">
        <f ca="1">ROUND('TUSD BE'!$AM$14,2)</f>
        <v>6.96</v>
      </c>
      <c r="J14" s="35">
        <v>0</v>
      </c>
      <c r="L14" s="108"/>
      <c r="M14" s="109"/>
      <c r="N14" s="109"/>
      <c r="O14" s="109"/>
      <c r="P14" s="37" t="s">
        <v>729</v>
      </c>
      <c r="Q14" s="35">
        <v>0</v>
      </c>
      <c r="R14" s="35">
        <f ca="1">ROUND(('TUSD BE'!$AM$32+'TUSD BF'!$AM$32+'TUSD CVA'!$AM$32)*(1-CUSTOS!$M$38),2)</f>
        <v>371.99</v>
      </c>
      <c r="S14" s="35">
        <f>ROUND(('TE BE'!$AB$22+'TE BF'!$AB$22+'TE CVA'!$AB$22)*(1-CUSTOS!$M$38),2)</f>
        <v>128.43</v>
      </c>
      <c r="T14" s="35">
        <v>0</v>
      </c>
      <c r="U14" s="35">
        <f ca="1">ROUND('TUSD BE'!$AM$32*(1-CUSTOS!$M$38),2)</f>
        <v>383.64</v>
      </c>
      <c r="V14" s="35">
        <f>ROUND('TE BE'!$AB$22*(1-CUSTOS!$M$38),2)</f>
        <v>138.24</v>
      </c>
    </row>
    <row r="15" spans="1:22" ht="11.25" customHeight="1" x14ac:dyDescent="0.25">
      <c r="A15" s="104"/>
      <c r="B15" s="37" t="s">
        <v>80</v>
      </c>
      <c r="C15" s="37" t="s">
        <v>25</v>
      </c>
      <c r="D15" s="37" t="s">
        <v>731</v>
      </c>
      <c r="E15" s="35">
        <f ca="1">ROUND('TUSD BE'!$AM$9+'TUSD BF'!$AM$9+'TUSD CVA'!$AM$9,2)</f>
        <v>11.59</v>
      </c>
      <c r="F15" s="35">
        <v>0</v>
      </c>
      <c r="G15" s="35">
        <v>0</v>
      </c>
      <c r="H15" s="35">
        <f ca="1">ROUND('TUSD BE'!$AM$9,2)</f>
        <v>12.12</v>
      </c>
      <c r="I15" s="35">
        <v>0</v>
      </c>
      <c r="J15" s="35">
        <v>0</v>
      </c>
      <c r="L15" s="108"/>
      <c r="M15" s="37" t="s">
        <v>737</v>
      </c>
      <c r="N15" s="37" t="s">
        <v>740</v>
      </c>
      <c r="O15" s="37" t="s">
        <v>741</v>
      </c>
      <c r="P15" s="37" t="s">
        <v>731</v>
      </c>
      <c r="Q15" s="35">
        <v>0</v>
      </c>
      <c r="R15" s="35">
        <f ca="1">ROUND(('TUSD BE'!$AM$42+'TUSD BF'!$AM$42+'TUSD CVA'!$AM$42)*(1-CUSTOS!$M$38),2)</f>
        <v>554.79999999999995</v>
      </c>
      <c r="S15" s="35">
        <f>ROUND(('TE BE'!$AB$32+'TE BF'!$AB$32+'TE CVA'!$AB$32)*(1-CUSTOS!$M$38),2)</f>
        <v>128.43</v>
      </c>
      <c r="T15" s="35">
        <v>0</v>
      </c>
      <c r="U15" s="35">
        <f ca="1">ROUND(('TUSD BE'!$AM$42)*(1-CUSTOS!$M$38),2)</f>
        <v>571.84</v>
      </c>
      <c r="V15" s="35">
        <f>ROUND(('TE BE'!$AB$32)*(1-CUSTOS!$M$38),2)</f>
        <v>138.24</v>
      </c>
    </row>
    <row r="16" spans="1:22" ht="11.25" customHeight="1" x14ac:dyDescent="0.25">
      <c r="L16" s="108"/>
      <c r="M16" s="37" t="s">
        <v>739</v>
      </c>
      <c r="N16" s="37" t="s">
        <v>740</v>
      </c>
      <c r="O16" s="37" t="s">
        <v>741</v>
      </c>
      <c r="P16" s="37" t="s">
        <v>731</v>
      </c>
      <c r="Q16" s="35">
        <v>0</v>
      </c>
      <c r="R16" s="35">
        <f ca="1">ROUND(('TUSD BE'!$AM$33+'TUSD BF'!$AM$33+'TUSD CVA'!$AM$33)*(1-CUSTOS!$M$38),2)</f>
        <v>554.79999999999995</v>
      </c>
      <c r="S16" s="35">
        <f>ROUND(('TE BE'!$AB$23+'TE BF'!$AB$23+'TE CVA'!$AB$23)*(1-CUSTOS!$M$38),2)</f>
        <v>128.43</v>
      </c>
      <c r="T16" s="35">
        <v>0</v>
      </c>
      <c r="U16" s="35">
        <f ca="1">ROUND(('TUSD BE'!$AM$33)*(1-CUSTOS!$M$38),2)</f>
        <v>571.84</v>
      </c>
      <c r="V16" s="35">
        <f>ROUND(('TE BE'!$AB$23)*(1-CUSTOS!$M$38),2)</f>
        <v>138.24</v>
      </c>
    </row>
    <row r="17" spans="12:22" ht="11.25" customHeight="1" x14ac:dyDescent="0.25">
      <c r="L17" s="108"/>
      <c r="M17" s="107" t="s">
        <v>734</v>
      </c>
      <c r="N17" s="107" t="s">
        <v>740</v>
      </c>
      <c r="O17" s="107" t="s">
        <v>742</v>
      </c>
      <c r="P17" s="37" t="s">
        <v>728</v>
      </c>
      <c r="Q17" s="35">
        <v>0</v>
      </c>
      <c r="R17" s="35">
        <f ca="1">ROUND(('TUSD BE'!$AM$34+'TUSD BF'!$AM$34+'TUSD CVA'!$AM$34)*(1-CUSTOS!$M$39),2)</f>
        <v>1424.31</v>
      </c>
      <c r="S17" s="35">
        <f>ROUND(('TE BE'!$AB$24+'TE BF'!$AB$24+'TE CVA'!$AB$24)*(1-CUSTOS!$M$39),2)</f>
        <v>128.43</v>
      </c>
      <c r="T17" s="35">
        <v>0</v>
      </c>
      <c r="U17" s="35">
        <f ca="1">ROUND('TUSD BE'!$AM$34*(1-CUSTOS!$M$39),2)</f>
        <v>1466.95</v>
      </c>
      <c r="V17" s="35">
        <f>ROUND('TE BE'!$AB$24*(1-CUSTOS!$M$39),2)</f>
        <v>138.24</v>
      </c>
    </row>
    <row r="18" spans="12:22" ht="11.25" customHeight="1" x14ac:dyDescent="0.25">
      <c r="L18" s="108"/>
      <c r="M18" s="108"/>
      <c r="N18" s="108"/>
      <c r="O18" s="108"/>
      <c r="P18" s="37" t="s">
        <v>736</v>
      </c>
      <c r="Q18" s="35">
        <v>0</v>
      </c>
      <c r="R18" s="35">
        <f ca="1">ROUND(('TUSD BE'!$AM$35+'TUSD BF'!$AM$35+'TUSD CVA'!$AM$35)*(1-CUSTOS!$M$39),2)</f>
        <v>898.09</v>
      </c>
      <c r="S18" s="35">
        <f>ROUND(('TE BE'!$AB$25+'TE BF'!$AB$25+'TE CVA'!$AB$25)*(1-CUSTOS!$M$39),2)</f>
        <v>128.43</v>
      </c>
      <c r="T18" s="35">
        <v>0</v>
      </c>
      <c r="U18" s="35">
        <f ca="1">ROUND('TUSD BE'!$AM$35*(1-CUSTOS!$M$39),2)</f>
        <v>925.24</v>
      </c>
      <c r="V18" s="35">
        <f>ROUND('TE BE'!$AB$25*(1-CUSTOS!$M$39),2)</f>
        <v>138.24</v>
      </c>
    </row>
    <row r="19" spans="12:22" ht="11.25" customHeight="1" x14ac:dyDescent="0.25">
      <c r="L19" s="108"/>
      <c r="M19" s="109"/>
      <c r="N19" s="109"/>
      <c r="O19" s="109"/>
      <c r="P19" s="37" t="s">
        <v>729</v>
      </c>
      <c r="Q19" s="35">
        <v>0</v>
      </c>
      <c r="R19" s="35">
        <f ca="1">ROUND(('TUSD BE'!$AM$36+'TUSD BF'!$AM$36+'TUSD CVA'!$AM$36)*(1-CUSTOS!$M$39),2)</f>
        <v>371.99</v>
      </c>
      <c r="S19" s="35">
        <f>ROUND(('TE BE'!$AB$26+'TE BF'!$AB$26+'TE CVA'!$AB$26)*(1-CUSTOS!$M$39),2)</f>
        <v>128.43</v>
      </c>
      <c r="T19" s="35">
        <v>0</v>
      </c>
      <c r="U19" s="35">
        <f ca="1">ROUND('TUSD BE'!$AM$36*(1-CUSTOS!$M$39),2)</f>
        <v>383.64</v>
      </c>
      <c r="V19" s="35">
        <f>ROUND('TE BE'!$AB$26*(1-CUSTOS!$M$39),2)</f>
        <v>138.24</v>
      </c>
    </row>
    <row r="20" spans="12:22" ht="11.25" customHeight="1" x14ac:dyDescent="0.25">
      <c r="L20" s="108"/>
      <c r="M20" s="37" t="s">
        <v>737</v>
      </c>
      <c r="N20" s="37" t="s">
        <v>740</v>
      </c>
      <c r="O20" s="37" t="s">
        <v>742</v>
      </c>
      <c r="P20" s="37" t="s">
        <v>731</v>
      </c>
      <c r="Q20" s="35">
        <v>0</v>
      </c>
      <c r="R20" s="35">
        <f ca="1">ROUND(('TUSD BE'!$AM$42+'TUSD BF'!$AM$42+'TUSD CVA'!$AM$42)*(1-CUSTOS!$M$39),2)</f>
        <v>554.79999999999995</v>
      </c>
      <c r="S20" s="35">
        <f>ROUND(('TE BE'!$AB$32+'TE BF'!$AB$32+'TE CVA'!$AB$32)*(1-CUSTOS!$M$39),2)</f>
        <v>128.43</v>
      </c>
      <c r="T20" s="35">
        <v>0</v>
      </c>
      <c r="U20" s="35">
        <f ca="1">ROUND(('TUSD BE'!$AM$42)*(1-CUSTOS!$M$39),2)</f>
        <v>571.84</v>
      </c>
      <c r="V20" s="35">
        <f>ROUND(('TE BE'!$AB$32)*(1-CUSTOS!$M$39),2)</f>
        <v>138.24</v>
      </c>
    </row>
    <row r="21" spans="12:22" ht="11.25" customHeight="1" x14ac:dyDescent="0.25">
      <c r="L21" s="108"/>
      <c r="M21" s="37" t="s">
        <v>739</v>
      </c>
      <c r="N21" s="37" t="s">
        <v>740</v>
      </c>
      <c r="O21" s="37" t="s">
        <v>742</v>
      </c>
      <c r="P21" s="37" t="s">
        <v>731</v>
      </c>
      <c r="Q21" s="35">
        <v>0</v>
      </c>
      <c r="R21" s="35">
        <f ca="1">ROUND(('TUSD BE'!$AM$33+'TUSD BF'!$AM$33+'TUSD CVA'!$AM$33)*(1-CUSTOS!$M$39),2)</f>
        <v>554.79999999999995</v>
      </c>
      <c r="S21" s="35">
        <f>ROUND(('TE BE'!$AB$23+'TE BF'!$AB$23+'TE CVA'!$AB$23)*(1-CUSTOS!$M$39),2)</f>
        <v>128.43</v>
      </c>
      <c r="T21" s="35">
        <v>0</v>
      </c>
      <c r="U21" s="35">
        <f ca="1">ROUND(('TUSD BE'!$AM$33)*(1-CUSTOS!$M$39),2)</f>
        <v>571.84</v>
      </c>
      <c r="V21" s="35">
        <f>ROUND(('TE BE'!$AB$23)*(1-CUSTOS!$M$39),2)</f>
        <v>138.24</v>
      </c>
    </row>
    <row r="22" spans="12:22" ht="11.25" customHeight="1" x14ac:dyDescent="0.25">
      <c r="L22" s="108"/>
      <c r="M22" s="107" t="s">
        <v>734</v>
      </c>
      <c r="N22" s="107" t="s">
        <v>740</v>
      </c>
      <c r="O22" s="107" t="s">
        <v>743</v>
      </c>
      <c r="P22" s="37" t="s">
        <v>728</v>
      </c>
      <c r="Q22" s="35">
        <v>0</v>
      </c>
      <c r="R22" s="35">
        <f ca="1">ROUND(('TUSD BE'!$AM$38+'TUSD BF'!$AM$38+'TUSD CVA'!$AM$38)*(1-CUSTOS!$M$40),2)</f>
        <v>1394</v>
      </c>
      <c r="S22" s="35">
        <f>ROUND(('TE BE'!$AB$28+'TE BF'!$AB$28+'TE CVA'!$AB$28)*(1-CUSTOS!$M$40),2)</f>
        <v>125.69</v>
      </c>
      <c r="T22" s="35">
        <v>0</v>
      </c>
      <c r="U22" s="35">
        <f ca="1">ROUND('TUSD BE'!$AM$38*(1-CUSTOS!$M$40),2)</f>
        <v>1435.74</v>
      </c>
      <c r="V22" s="35">
        <f>ROUND('TE BE'!$AB$28*(1-CUSTOS!$M$40),2)</f>
        <v>135.29</v>
      </c>
    </row>
    <row r="23" spans="12:22" ht="11.25" customHeight="1" x14ac:dyDescent="0.25">
      <c r="L23" s="108"/>
      <c r="M23" s="108"/>
      <c r="N23" s="108"/>
      <c r="O23" s="108"/>
      <c r="P23" s="37" t="s">
        <v>736</v>
      </c>
      <c r="Q23" s="35">
        <v>0</v>
      </c>
      <c r="R23" s="35">
        <f ca="1">ROUND(('TUSD BE'!$AM$39+'TUSD BF'!$AM$39+'TUSD CVA'!$AM$39)*(1-CUSTOS!$M$40),2)</f>
        <v>878.98</v>
      </c>
      <c r="S23" s="35">
        <f>ROUND(('TE BE'!$AB$29+'TE BF'!$AB$29+'TE CVA'!$AB$29)*(1-CUSTOS!$M$40),2)</f>
        <v>125.69</v>
      </c>
      <c r="T23" s="35">
        <v>0</v>
      </c>
      <c r="U23" s="35">
        <f ca="1">ROUND('TUSD BE'!$AM$39*(1-CUSTOS!$M$40),2)</f>
        <v>905.55</v>
      </c>
      <c r="V23" s="35">
        <f>ROUND('TE BE'!$AB$29*(1-CUSTOS!$M$40),2)</f>
        <v>135.29</v>
      </c>
    </row>
    <row r="24" spans="12:22" ht="11.25" customHeight="1" x14ac:dyDescent="0.25">
      <c r="L24" s="108"/>
      <c r="M24" s="109"/>
      <c r="N24" s="109"/>
      <c r="O24" s="109"/>
      <c r="P24" s="37" t="s">
        <v>729</v>
      </c>
      <c r="Q24" s="35">
        <v>0</v>
      </c>
      <c r="R24" s="35">
        <f ca="1">ROUND(('TUSD BE'!$AM$40+'TUSD BF'!$AM$40+'TUSD CVA'!$AM$40)*(1-CUSTOS!$M$40),2)</f>
        <v>364.07</v>
      </c>
      <c r="S24" s="35">
        <f>ROUND(('TE BE'!$AB$30+'TE BF'!$AB$30+'TE CVA'!$AB$30)*(1-CUSTOS!$M$40),2)</f>
        <v>125.69</v>
      </c>
      <c r="T24" s="35">
        <v>0</v>
      </c>
      <c r="U24" s="35">
        <f ca="1">ROUND('TUSD BE'!$AM$40*(1-CUSTOS!$M$40),2)</f>
        <v>375.48</v>
      </c>
      <c r="V24" s="35">
        <f>ROUND('TE BE'!$AB$30*(1-CUSTOS!$M$40),2)</f>
        <v>135.29</v>
      </c>
    </row>
    <row r="25" spans="12:22" ht="11.25" customHeight="1" x14ac:dyDescent="0.25">
      <c r="L25" s="108"/>
      <c r="M25" s="37" t="s">
        <v>737</v>
      </c>
      <c r="N25" s="37" t="s">
        <v>740</v>
      </c>
      <c r="O25" s="37" t="s">
        <v>743</v>
      </c>
      <c r="P25" s="37" t="s">
        <v>731</v>
      </c>
      <c r="Q25" s="35">
        <v>0</v>
      </c>
      <c r="R25" s="35">
        <f ca="1">ROUND(('TUSD BE'!$AM$42+'TUSD BF'!$AM$42+'TUSD CVA'!$AM$42)*(1-CUSTOS!$M$40),2)</f>
        <v>543</v>
      </c>
      <c r="S25" s="35">
        <f>ROUND(('TE BE'!$AB$32+'TE BF'!$AB$32+'TE CVA'!$AB$32)*(1-CUSTOS!$M$40),2)</f>
        <v>125.69</v>
      </c>
      <c r="T25" s="35">
        <v>0</v>
      </c>
      <c r="U25" s="35">
        <f ca="1">ROUND(('TUSD BE'!$AM$42)*(1-CUSTOS!$M$40),2)</f>
        <v>559.66999999999996</v>
      </c>
      <c r="V25" s="35">
        <f>ROUND(('TE BE'!$AB$32)*(1-CUSTOS!$M$40),2)</f>
        <v>135.29</v>
      </c>
    </row>
    <row r="26" spans="12:22" ht="11.25" customHeight="1" x14ac:dyDescent="0.25">
      <c r="L26" s="109"/>
      <c r="M26" s="37" t="s">
        <v>739</v>
      </c>
      <c r="N26" s="37" t="s">
        <v>740</v>
      </c>
      <c r="O26" s="37" t="s">
        <v>743</v>
      </c>
      <c r="P26" s="37" t="s">
        <v>731</v>
      </c>
      <c r="Q26" s="35">
        <v>0</v>
      </c>
      <c r="R26" s="35">
        <f ca="1">ROUND(('TUSD BE'!$AM$33+'TUSD BF'!$AM$33+'TUSD CVA'!$AM$33)*(1-CUSTOS!$M$40),2)</f>
        <v>543</v>
      </c>
      <c r="S26" s="35">
        <f>ROUND(('TE BE'!$AB$23+'TE BF'!$AB$23+'TE CVA'!$AB$23)*(1-CUSTOS!$M$40),2)</f>
        <v>125.69</v>
      </c>
      <c r="T26" s="35">
        <v>0</v>
      </c>
      <c r="U26" s="35">
        <f ca="1">ROUND(('TUSD BE'!$AM$33)*(1-CUSTOS!$M$40),2)</f>
        <v>559.66999999999996</v>
      </c>
      <c r="V26" s="35">
        <f>ROUND(('TE BE'!$AB$23)*(1-CUSTOS!$M$40),2)</f>
        <v>135.29</v>
      </c>
    </row>
    <row r="27" spans="12:22" ht="11.25" customHeight="1" x14ac:dyDescent="0.25">
      <c r="L27" s="107" t="s">
        <v>33</v>
      </c>
      <c r="M27" s="107" t="s">
        <v>734</v>
      </c>
      <c r="N27" s="107" t="s">
        <v>731</v>
      </c>
      <c r="O27" s="107" t="s">
        <v>731</v>
      </c>
      <c r="P27" s="37" t="s">
        <v>728</v>
      </c>
      <c r="Q27" s="35">
        <v>0</v>
      </c>
      <c r="R27" s="35">
        <f ca="1">ROUND(('TUSD BE'!$AM$45+'TUSD BF'!$AM$45+'TUSD CVA'!$AM$45)*(1-CUSTOS!$M$31),2)</f>
        <v>1728.67</v>
      </c>
      <c r="S27" s="35">
        <f>ROUND(('TE BE'!$AB$35+'TE BF'!$AB$35+'TE CVA'!$AB$35)*(1-CUSTOS!$M$31),2)</f>
        <v>136.62</v>
      </c>
      <c r="T27" s="35">
        <v>0</v>
      </c>
      <c r="U27" s="35">
        <f ca="1">ROUND('TUSD BE'!$AM$45*(1-CUSTOS!$M$31),2)</f>
        <v>1780.32</v>
      </c>
      <c r="V27" s="35">
        <f>ROUND('TE BE'!$AB$35*(1-CUSTOS!$M$31),2)</f>
        <v>147.06</v>
      </c>
    </row>
    <row r="28" spans="12:22" ht="11.25" customHeight="1" x14ac:dyDescent="0.25">
      <c r="L28" s="108"/>
      <c r="M28" s="108"/>
      <c r="N28" s="108"/>
      <c r="O28" s="108"/>
      <c r="P28" s="37" t="s">
        <v>736</v>
      </c>
      <c r="Q28" s="35">
        <v>0</v>
      </c>
      <c r="R28" s="35">
        <f ca="1">ROUND(('TUSD BE'!$AM$46+'TUSD BF'!$AM$46+'TUSD CVA'!$AM$46)*(1-CUSTOS!$M$31),2)</f>
        <v>1083.52</v>
      </c>
      <c r="S28" s="35">
        <f>ROUND(('TE BE'!$AB$36+'TE BF'!$AB$36+'TE CVA'!$AB$36)*(1-CUSTOS!$M$31),2)</f>
        <v>136.62</v>
      </c>
      <c r="T28" s="35">
        <v>0</v>
      </c>
      <c r="U28" s="35">
        <f ca="1">ROUND('TUSD BE'!$AM$46*(1-CUSTOS!$M$31),2)</f>
        <v>1116.18</v>
      </c>
      <c r="V28" s="35">
        <f>ROUND('TE BE'!$AB$36*(1-CUSTOS!$M$31),2)</f>
        <v>147.06</v>
      </c>
    </row>
    <row r="29" spans="12:22" ht="11.25" customHeight="1" x14ac:dyDescent="0.25">
      <c r="L29" s="108"/>
      <c r="M29" s="109"/>
      <c r="N29" s="109"/>
      <c r="O29" s="109"/>
      <c r="P29" s="37" t="s">
        <v>729</v>
      </c>
      <c r="Q29" s="35">
        <v>0</v>
      </c>
      <c r="R29" s="35">
        <f ca="1">ROUND(('TUSD BE'!$AM$47+'TUSD BF'!$AM$47+'TUSD CVA'!$AM$47)*(1-CUSTOS!$M$31),2)</f>
        <v>438.42</v>
      </c>
      <c r="S29" s="35">
        <f>ROUND(('TE BE'!$AB$37+'TE BF'!$AB$37+'TE CVA'!$AB$37)*(1-CUSTOS!$M$31),2)</f>
        <v>136.62</v>
      </c>
      <c r="T29" s="35">
        <v>0</v>
      </c>
      <c r="U29" s="35">
        <f ca="1">ROUND('TUSD BE'!$AM$47*(1-CUSTOS!$M$31),2)</f>
        <v>452.08</v>
      </c>
      <c r="V29" s="35">
        <f>ROUND('TE BE'!$AB$37*(1-CUSTOS!$M$31),2)</f>
        <v>147.06</v>
      </c>
    </row>
    <row r="30" spans="12:22" ht="11.25" customHeight="1" x14ac:dyDescent="0.25">
      <c r="L30" s="108"/>
      <c r="M30" s="37" t="s">
        <v>737</v>
      </c>
      <c r="N30" s="37" t="s">
        <v>731</v>
      </c>
      <c r="O30" s="37" t="s">
        <v>731</v>
      </c>
      <c r="P30" s="37" t="s">
        <v>731</v>
      </c>
      <c r="Q30" s="35">
        <v>0</v>
      </c>
      <c r="R30" s="35">
        <f ca="1">ROUND(('TUSD BE'!$AM$49+'TUSD BF'!$AM$49+'TUSD CVA'!$AM$49)*(1-CUSTOS!$M$31),2)</f>
        <v>590.21</v>
      </c>
      <c r="S30" s="35">
        <f>ROUND(('TE BE'!$AB$39+'TE BF'!$AB$39+'TE CVA'!$AB$39)*(1-CUSTOS!$M$31),2)</f>
        <v>136.62</v>
      </c>
      <c r="T30" s="35">
        <v>0</v>
      </c>
      <c r="U30" s="35">
        <f ca="1">ROUND(('TUSD BE'!$AM$49)*(1-CUSTOS!$M$31),2)</f>
        <v>608.34</v>
      </c>
      <c r="V30" s="35">
        <f>ROUND(('TE BE'!$AB$39)*(1-CUSTOS!$M$31),2)</f>
        <v>147.06</v>
      </c>
    </row>
    <row r="31" spans="12:22" ht="11.25" customHeight="1" x14ac:dyDescent="0.25">
      <c r="L31" s="109"/>
      <c r="M31" s="37" t="s">
        <v>739</v>
      </c>
      <c r="N31" s="37" t="s">
        <v>731</v>
      </c>
      <c r="O31" s="37" t="s">
        <v>731</v>
      </c>
      <c r="P31" s="37" t="s">
        <v>731</v>
      </c>
      <c r="Q31" s="35">
        <v>0</v>
      </c>
      <c r="R31" s="35">
        <f ca="1">ROUND(('TUSD BE'!$AM$48+'TUSD BF'!$AM$48+'TUSD CVA'!$AM$48)*(1-CUSTOS!$M$31),2)</f>
        <v>590.21</v>
      </c>
      <c r="S31" s="35">
        <f>ROUND(('TE BE'!$AB$38+'TE BF'!$AB$38+'TE CVA'!$AB$38)*(1-CUSTOS!$M$31),2)</f>
        <v>136.62</v>
      </c>
      <c r="T31" s="35">
        <v>0</v>
      </c>
      <c r="U31" s="35">
        <f ca="1">ROUND(('TUSD BE'!$AM$48)*(1-CUSTOS!$M$31),2)</f>
        <v>608.34</v>
      </c>
      <c r="V31" s="35">
        <f>ROUND(('TE BE'!$AB$38)*(1-CUSTOS!$M$31),2)</f>
        <v>147.06</v>
      </c>
    </row>
    <row r="32" spans="12:22" ht="11.25" customHeight="1" x14ac:dyDescent="0.25">
      <c r="L32" s="107" t="s">
        <v>46</v>
      </c>
      <c r="M32" s="107" t="s">
        <v>739</v>
      </c>
      <c r="N32" s="107" t="s">
        <v>744</v>
      </c>
      <c r="O32" s="37" t="s">
        <v>745</v>
      </c>
      <c r="P32" s="37" t="s">
        <v>731</v>
      </c>
      <c r="Q32" s="35">
        <v>0</v>
      </c>
      <c r="R32" s="35">
        <f ca="1">ROUND(('TUSD BE'!$AM$50+'TUSD BF'!$AM$50+'TUSD CVA'!$AM$50),2)</f>
        <v>324.62</v>
      </c>
      <c r="S32" s="35">
        <f>ROUND(('TE BE'!$AB$40+'TE BF'!$AB$40+'TE CVA'!$AB$40),2)</f>
        <v>75.14</v>
      </c>
      <c r="T32" s="35">
        <v>0</v>
      </c>
      <c r="U32" s="35">
        <f ca="1">ROUND(('TUSD BE'!$AM$50),2)</f>
        <v>334.59</v>
      </c>
      <c r="V32" s="35">
        <f>ROUND(('TE BE'!$AB$40),2)</f>
        <v>80.88</v>
      </c>
    </row>
    <row r="33" spans="12:22" ht="11.25" customHeight="1" x14ac:dyDescent="0.25">
      <c r="L33" s="109"/>
      <c r="M33" s="109"/>
      <c r="N33" s="109"/>
      <c r="O33" s="37" t="s">
        <v>746</v>
      </c>
      <c r="P33" s="37" t="s">
        <v>731</v>
      </c>
      <c r="Q33" s="35">
        <v>0</v>
      </c>
      <c r="R33" s="35">
        <f ca="1">ROUND(('TUSD BE'!$AM$51+'TUSD BF'!$AM$51+'TUSD CVA'!$AM$51),2)</f>
        <v>354.13</v>
      </c>
      <c r="S33" s="35">
        <f>ROUND(('TE BE'!$AB$41+'TE BF'!$AB$41+'TE CVA'!$AB$41),2)</f>
        <v>81.97</v>
      </c>
      <c r="T33" s="35">
        <v>0</v>
      </c>
      <c r="U33" s="35">
        <f ca="1">ROUND(('TUSD BE'!$AM$51),2)</f>
        <v>365</v>
      </c>
      <c r="V33" s="35">
        <f>ROUND(('TE BE'!$AB$41),2)</f>
        <v>88.24</v>
      </c>
    </row>
    <row r="34" spans="12:22" ht="11.25" customHeight="1" x14ac:dyDescent="0.25">
      <c r="L34" s="107" t="s">
        <v>81</v>
      </c>
      <c r="M34" s="107" t="s">
        <v>747</v>
      </c>
      <c r="N34" s="37" t="s">
        <v>82</v>
      </c>
      <c r="O34" s="37" t="s">
        <v>731</v>
      </c>
      <c r="P34" s="37" t="s">
        <v>731</v>
      </c>
      <c r="Q34" s="35">
        <f ca="1">ROUND(('TUSD BE'!$AM$15+'TUSD BF'!$AM$15+'TUSD CVA'!$AM$15),2)</f>
        <v>6.65</v>
      </c>
      <c r="R34" s="35">
        <v>0</v>
      </c>
      <c r="S34" s="35">
        <v>0</v>
      </c>
      <c r="T34" s="35">
        <f ca="1">ROUND(('TUSD BE'!$AM$15),2)</f>
        <v>6.96</v>
      </c>
      <c r="U34" s="35">
        <v>0</v>
      </c>
      <c r="V34" s="35">
        <v>0</v>
      </c>
    </row>
    <row r="35" spans="12:22" ht="11.25" customHeight="1" x14ac:dyDescent="0.25">
      <c r="L35" s="109"/>
      <c r="M35" s="109"/>
      <c r="N35" s="37" t="s">
        <v>83</v>
      </c>
      <c r="O35" s="37" t="s">
        <v>731</v>
      </c>
      <c r="P35" s="37" t="s">
        <v>731</v>
      </c>
      <c r="Q35" s="35">
        <f ca="1">ROUND(('TUSD BE'!$AM$16+'TUSD BF'!$AM$16+'TUSD CVA'!$AM$16),2)</f>
        <v>19.79</v>
      </c>
      <c r="R35" s="35">
        <v>0</v>
      </c>
      <c r="S35" s="35">
        <v>0</v>
      </c>
      <c r="T35" s="35">
        <f ca="1">ROUND(('TUSD BE'!$AM$16),2)</f>
        <v>20.7</v>
      </c>
      <c r="U35" s="35">
        <v>0</v>
      </c>
      <c r="V35" s="3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3B84-1670-4A75-84C5-4885D8C7169B}">
  <dimension ref="A1:AN548"/>
  <sheetViews>
    <sheetView showGridLines="0" topLeftCell="Y1" workbookViewId="0">
      <selection sqref="A1:O548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.85546875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60" t="s">
        <v>8</v>
      </c>
      <c r="J1" s="36" t="s">
        <v>694</v>
      </c>
      <c r="K1" s="36" t="s">
        <v>695</v>
      </c>
      <c r="L1" s="36" t="s">
        <v>696</v>
      </c>
      <c r="M1" s="36" t="s">
        <v>697</v>
      </c>
      <c r="N1" s="36" t="s">
        <v>698</v>
      </c>
      <c r="O1" s="36" t="s">
        <v>699</v>
      </c>
      <c r="P1" s="7"/>
      <c r="Q1" s="100" t="s">
        <v>700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40" t="s">
        <v>721</v>
      </c>
      <c r="AM1" s="40" t="s">
        <v>59</v>
      </c>
      <c r="AN1" s="40" t="s">
        <v>722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34</v>
      </c>
      <c r="E2" s="41" t="s">
        <v>25</v>
      </c>
      <c r="F2" s="41" t="s">
        <v>25</v>
      </c>
      <c r="G2" s="41" t="s">
        <v>25</v>
      </c>
      <c r="H2" s="41" t="s">
        <v>38</v>
      </c>
      <c r="I2" s="61">
        <v>44440</v>
      </c>
      <c r="J2" s="62">
        <f ca="1">EFEITO!$J$2*EFEITO!$Y$2</f>
        <v>122822.34383144113</v>
      </c>
      <c r="K2" s="62">
        <f ca="1">EFEITO!$L$2*EFEITO!$Z$2</f>
        <v>135691.96554724468</v>
      </c>
      <c r="L2" s="62">
        <f>EFEITO!$N$2*EFEITO!$AA$2</f>
        <v>196138.90211161508</v>
      </c>
      <c r="M2" s="62">
        <f ca="1">$J$2-EFEITO!$K$2*EFEITO!$Y$2</f>
        <v>0</v>
      </c>
      <c r="N2" s="62">
        <f ca="1">$K$2-EFEITO!$M$2*EFEITO!$Z$2</f>
        <v>0</v>
      </c>
      <c r="O2" s="62">
        <f>$L$2-EFEITO!$O$2*EFEITO!$AA$2</f>
        <v>0</v>
      </c>
      <c r="P2" s="45"/>
      <c r="Q2" s="34" t="s">
        <v>62</v>
      </c>
      <c r="R2" s="34" t="s">
        <v>702</v>
      </c>
      <c r="S2" s="34" t="s">
        <v>703</v>
      </c>
      <c r="T2" s="34" t="s">
        <v>704</v>
      </c>
      <c r="U2" s="34" t="s">
        <v>705</v>
      </c>
      <c r="V2" s="34" t="s">
        <v>706</v>
      </c>
      <c r="W2" s="34" t="s">
        <v>707</v>
      </c>
      <c r="X2" s="63" t="s">
        <v>708</v>
      </c>
      <c r="Y2" s="63" t="s">
        <v>709</v>
      </c>
      <c r="Z2" s="63" t="s">
        <v>710</v>
      </c>
      <c r="AA2" s="63" t="s">
        <v>711</v>
      </c>
      <c r="AB2" s="63" t="s">
        <v>712</v>
      </c>
      <c r="AC2" s="63" t="s">
        <v>713</v>
      </c>
      <c r="AD2" s="63" t="s">
        <v>714</v>
      </c>
      <c r="AE2" s="63" t="s">
        <v>715</v>
      </c>
      <c r="AF2" s="63" t="s">
        <v>716</v>
      </c>
      <c r="AG2" s="63" t="s">
        <v>717</v>
      </c>
      <c r="AH2" s="63" t="s">
        <v>718</v>
      </c>
      <c r="AI2" s="63" t="s">
        <v>719</v>
      </c>
      <c r="AJ2" s="63" t="s">
        <v>720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34</v>
      </c>
      <c r="E3" s="41" t="s">
        <v>25</v>
      </c>
      <c r="F3" s="41" t="s">
        <v>25</v>
      </c>
      <c r="G3" s="41" t="s">
        <v>25</v>
      </c>
      <c r="H3" s="41" t="s">
        <v>38</v>
      </c>
      <c r="I3" s="61">
        <v>44470</v>
      </c>
      <c r="J3" s="62">
        <f ca="1">EFEITO!$J$3*EFEITO!$Y$3</f>
        <v>131460.64749771878</v>
      </c>
      <c r="K3" s="62">
        <f ca="1">EFEITO!$L$3*EFEITO!$Z$3</f>
        <v>144490.71227062895</v>
      </c>
      <c r="L3" s="62">
        <f>EFEITO!$N$3*EFEITO!$AA$3</f>
        <v>208857.24188451702</v>
      </c>
      <c r="M3" s="62">
        <f ca="1">$J$3-EFEITO!$K$3*EFEITO!$Y$3</f>
        <v>0</v>
      </c>
      <c r="N3" s="62">
        <f ca="1">$K$3-EFEITO!$M$3*EFEITO!$Z$3</f>
        <v>0</v>
      </c>
      <c r="O3" s="62">
        <f>$L$3-EFEITO!$O$3*EFEITO!$AA$3</f>
        <v>0</v>
      </c>
      <c r="P3" s="45"/>
      <c r="Q3" s="62" t="s">
        <v>701</v>
      </c>
      <c r="R3" s="62">
        <f>SUMIF($B$2:$B$548,$Q$3,$J$2:$J$548)</f>
        <v>0</v>
      </c>
      <c r="S3" s="62">
        <f>SUMIF($B$2:$B$548,$Q$3,$K$2:$K$548)</f>
        <v>0</v>
      </c>
      <c r="T3" s="62">
        <f>SUMIF($B$2:$B$548,$Q$3,$L$2:$L$548)</f>
        <v>0</v>
      </c>
      <c r="U3" s="62">
        <f>SUMIF($B$2:$B$548,$Q$3,$M$2:$M$548)</f>
        <v>0</v>
      </c>
      <c r="V3" s="62">
        <f>SUMIF($B$2:$B$548,$Q$3,$N$2:$N$548)</f>
        <v>0</v>
      </c>
      <c r="W3" s="62">
        <f>SUMIF($B$2:$B$548,$Q$3,$O$2:$O$548)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SUMIF(EFEITO!$B$2:$B$548,$Q$3,EFEITO!$AE$2:$AE$548)</f>
        <v>0</v>
      </c>
      <c r="AB3" s="42">
        <f>SUMIF(EFEITO!$B$2:$B$548,$Q$3,EFEITO!$AF$2:$AF$548)</f>
        <v>0</v>
      </c>
      <c r="AC3" s="42">
        <f>SUMIF(EFEITO!$B$2:$B$548,$Q$3,EFEITO!$AG$2:$AH$548)</f>
        <v>0</v>
      </c>
      <c r="AD3" s="42">
        <f>SUMIF(SUBSIDIO!$B$2:$B$548,$Q$3,SUBSIDIO!$AD$2:$AD$548)</f>
        <v>0</v>
      </c>
      <c r="AE3" s="42">
        <f>SUMIF(SUBSIDIO!$B$2:$B$548,$Q$3,SUBSIDIO!$AE$2:$AE$548)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34</v>
      </c>
      <c r="E4" s="41" t="s">
        <v>25</v>
      </c>
      <c r="F4" s="41" t="s">
        <v>25</v>
      </c>
      <c r="G4" s="41" t="s">
        <v>25</v>
      </c>
      <c r="H4" s="41" t="s">
        <v>38</v>
      </c>
      <c r="I4" s="61">
        <v>44501</v>
      </c>
      <c r="J4" s="62">
        <f ca="1">EFEITO!$J$4*EFEITO!$Y$4</f>
        <v>139042.73936200613</v>
      </c>
      <c r="K4" s="62">
        <f ca="1">EFEITO!$L$4*EFEITO!$Z$4</f>
        <v>149808.84488428591</v>
      </c>
      <c r="L4" s="62">
        <f>EFEITO!$N$4*EFEITO!$AA$4</f>
        <v>216544.45230939271</v>
      </c>
      <c r="M4" s="62">
        <f ca="1">$J$4-EFEITO!$K$4*EFEITO!$Y$4</f>
        <v>0</v>
      </c>
      <c r="N4" s="62">
        <f ca="1">$K$4-EFEITO!$M$4*EFEITO!$Z$4</f>
        <v>0</v>
      </c>
      <c r="O4" s="62">
        <f>$L$4-EFEITO!$O$4*EFEITO!$AA$4</f>
        <v>0</v>
      </c>
      <c r="P4" s="45"/>
      <c r="Q4" s="62" t="s">
        <v>579</v>
      </c>
      <c r="R4" s="62">
        <f>SUMIF($B$2:$B$548,$Q$4,$J$2:$J$548)</f>
        <v>0</v>
      </c>
      <c r="S4" s="62">
        <f>SUMIF($B$2:$B$548,$Q$4,$K$2:$K$548)</f>
        <v>0</v>
      </c>
      <c r="T4" s="62">
        <f>SUMIF($B$2:$B$548,$Q$4,$L$2:$L$548)</f>
        <v>0</v>
      </c>
      <c r="U4" s="62">
        <f>SUMIF($B$2:$B$548,$Q$4,$M$2:$M$548)</f>
        <v>0</v>
      </c>
      <c r="V4" s="62">
        <f>SUMIF($B$2:$B$548,$Q$4,$N$2:$N$548)</f>
        <v>0</v>
      </c>
      <c r="W4" s="62">
        <f>SUMIF($B$2:$B$548,$Q$4,$O$2:$O$548)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SUMIF(EFEITO!$B$2:$B$548,$Q$4,EFEITO!$AE$2:$AE$548)</f>
        <v>0</v>
      </c>
      <c r="AB4" s="42">
        <f>SUMIF(EFEITO!$B$2:$B$548,$Q$4,EFEITO!$AF$2:$AF$548)</f>
        <v>0</v>
      </c>
      <c r="AC4" s="42">
        <f>SUMIF(EFEITO!$B$2:$B$548,$Q$4,EFEITO!$AG$2:$AH$548)</f>
        <v>0</v>
      </c>
      <c r="AD4" s="42">
        <f>SUMIF(SUBSIDIO!$B$2:$B$548,$Q$4,SUBSIDIO!$AD$2:$AD$548)</f>
        <v>0</v>
      </c>
      <c r="AE4" s="42">
        <f>SUMIF(SUBSIDIO!$B$2:$B$548,$Q$4,SUBSIDIO!$AE$2:$AE$548)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34</v>
      </c>
      <c r="E5" s="41" t="s">
        <v>25</v>
      </c>
      <c r="F5" s="41" t="s">
        <v>25</v>
      </c>
      <c r="G5" s="41" t="s">
        <v>25</v>
      </c>
      <c r="H5" s="41" t="s">
        <v>38</v>
      </c>
      <c r="I5" s="61">
        <v>44531</v>
      </c>
      <c r="J5" s="62">
        <f ca="1">EFEITO!$J$5*EFEITO!$Y$5</f>
        <v>139005.01751193506</v>
      </c>
      <c r="K5" s="62">
        <f ca="1">EFEITO!$L$5*EFEITO!$Z$5</f>
        <v>125275.35944256501</v>
      </c>
      <c r="L5" s="62">
        <f>EFEITO!$N$5*EFEITO!$AA$5</f>
        <v>181081.99231698425</v>
      </c>
      <c r="M5" s="62">
        <f ca="1">$J$5-EFEITO!$K$5*EFEITO!$Y$5</f>
        <v>0</v>
      </c>
      <c r="N5" s="62">
        <f ca="1">$K$5-EFEITO!$M$5*EFEITO!$Z$5</f>
        <v>0</v>
      </c>
      <c r="O5" s="62">
        <f>$L$5-EFEITO!$O$5*EFEITO!$AA$5</f>
        <v>0</v>
      </c>
      <c r="P5" s="45"/>
      <c r="Q5" s="62" t="s">
        <v>580</v>
      </c>
      <c r="R5" s="62">
        <f>SUMIF($B$2:$B$548,$Q$5,$J$2:$J$548)</f>
        <v>0</v>
      </c>
      <c r="S5" s="62">
        <f>SUMIF($B$2:$B$548,$Q$5,$K$2:$K$548)</f>
        <v>0</v>
      </c>
      <c r="T5" s="62">
        <f>SUMIF($B$2:$B$548,$Q$5,$L$2:$L$548)</f>
        <v>0</v>
      </c>
      <c r="U5" s="62">
        <f>SUMIF($B$2:$B$548,$Q$5,$M$2:$M$548)</f>
        <v>0</v>
      </c>
      <c r="V5" s="62">
        <f>SUMIF($B$2:$B$548,$Q$5,$N$2:$N$548)</f>
        <v>0</v>
      </c>
      <c r="W5" s="62">
        <f>SUMIF($B$2:$B$548,$Q$5,$O$2:$O$548)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SUMIF(EFEITO!$B$2:$B$548,$Q$5,EFEITO!$AE$2:$AE$548)</f>
        <v>0</v>
      </c>
      <c r="AB5" s="42">
        <f>SUMIF(EFEITO!$B$2:$B$548,$Q$5,EFEITO!$AF$2:$AF$548)</f>
        <v>0</v>
      </c>
      <c r="AC5" s="42">
        <f>SUMIF(EFEITO!$B$2:$B$548,$Q$5,EFEITO!$AG$2:$AH$548)</f>
        <v>0</v>
      </c>
      <c r="AD5" s="42">
        <f>SUMIF(SUBSIDIO!$B$2:$B$548,$Q$5,SUBSIDIO!$AD$2:$AD$548)</f>
        <v>0</v>
      </c>
      <c r="AE5" s="42">
        <f>SUMIF(SUBSIDIO!$B$2:$B$548,$Q$5,SUBSIDIO!$AE$2:$AE$548)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34</v>
      </c>
      <c r="E6" s="41" t="s">
        <v>25</v>
      </c>
      <c r="F6" s="41" t="s">
        <v>25</v>
      </c>
      <c r="G6" s="41" t="s">
        <v>25</v>
      </c>
      <c r="H6" s="41" t="s">
        <v>38</v>
      </c>
      <c r="I6" s="61">
        <v>44562</v>
      </c>
      <c r="J6" s="62">
        <f ca="1">EFEITO!$J$6*EFEITO!$Y$6</f>
        <v>130140.38274523092</v>
      </c>
      <c r="K6" s="62">
        <f ca="1">EFEITO!$L$6*EFEITO!$Z$6</f>
        <v>122040.5858569219</v>
      </c>
      <c r="L6" s="62">
        <f>EFEITO!$N$6*EFEITO!$AA$6</f>
        <v>176406.2185000976</v>
      </c>
      <c r="M6" s="62">
        <f ca="1">$J$6-EFEITO!$K$6*EFEITO!$Y$6</f>
        <v>0</v>
      </c>
      <c r="N6" s="62">
        <f ca="1">$K$6-EFEITO!$M$6*EFEITO!$Z$6</f>
        <v>0</v>
      </c>
      <c r="O6" s="62">
        <f>$L$6-EFEITO!$O$6*EFEITO!$AA$6</f>
        <v>0</v>
      </c>
      <c r="P6" s="45"/>
      <c r="Q6" s="62" t="s">
        <v>581</v>
      </c>
      <c r="R6" s="62">
        <f>SUMIF($B$2:$B$548,$Q$6,$J$2:$J$548)</f>
        <v>0</v>
      </c>
      <c r="S6" s="62">
        <f>SUMIF($B$2:$B$548,$Q$6,$K$2:$K$548)</f>
        <v>0</v>
      </c>
      <c r="T6" s="62">
        <f>SUMIF($B$2:$B$548,$Q$6,$L$2:$L$548)</f>
        <v>0</v>
      </c>
      <c r="U6" s="62">
        <f>SUMIF($B$2:$B$548,$Q$6,$M$2:$M$548)</f>
        <v>0</v>
      </c>
      <c r="V6" s="62">
        <f>SUMIF($B$2:$B$548,$Q$6,$N$2:$N$548)</f>
        <v>0</v>
      </c>
      <c r="W6" s="62">
        <f>SUMIF($B$2:$B$548,$Q$6,$O$2:$O$548)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SUMIF(EFEITO!$B$2:$B$548,$Q$6,EFEITO!$AE$2:$AE$548)</f>
        <v>0</v>
      </c>
      <c r="AB6" s="42">
        <f>SUMIF(EFEITO!$B$2:$B$548,$Q$6,EFEITO!$AF$2:$AF$548)</f>
        <v>0</v>
      </c>
      <c r="AC6" s="42">
        <f>SUMIF(EFEITO!$B$2:$B$548,$Q$6,EFEITO!$AG$2:$AH$548)</f>
        <v>0</v>
      </c>
      <c r="AD6" s="42">
        <f>SUMIF(SUBSIDIO!$B$2:$B$548,$Q$6,SUBSIDIO!$AD$2:$AD$548)</f>
        <v>0</v>
      </c>
      <c r="AE6" s="42">
        <f>SUMIF(SUBSIDIO!$B$2:$B$548,$Q$6,SUBSIDIO!$AE$2:$AE$548)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34</v>
      </c>
      <c r="E7" s="41" t="s">
        <v>25</v>
      </c>
      <c r="F7" s="41" t="s">
        <v>25</v>
      </c>
      <c r="G7" s="41" t="s">
        <v>25</v>
      </c>
      <c r="H7" s="41" t="s">
        <v>38</v>
      </c>
      <c r="I7" s="61">
        <v>44593</v>
      </c>
      <c r="J7" s="62">
        <f ca="1">EFEITO!$J$7*EFEITO!$Y$7</f>
        <v>150887.4002843257</v>
      </c>
      <c r="K7" s="62">
        <f ca="1">EFEITO!$L$7*EFEITO!$Z$7</f>
        <v>117404.68196407992</v>
      </c>
      <c r="L7" s="62">
        <f>EFEITO!$N$7*EFEITO!$AA$7</f>
        <v>169705.15041423222</v>
      </c>
      <c r="M7" s="62">
        <f ca="1">$J$7-EFEITO!$K$7*EFEITO!$Y$7</f>
        <v>0</v>
      </c>
      <c r="N7" s="62">
        <f ca="1">$K$7-EFEITO!$M$7*EFEITO!$Z$7</f>
        <v>0</v>
      </c>
      <c r="O7" s="62">
        <f>$L$7-EFEITO!$O$7*EFEITO!$AA$7</f>
        <v>0</v>
      </c>
      <c r="P7" s="45"/>
      <c r="Q7" s="62" t="s">
        <v>35</v>
      </c>
      <c r="R7" s="62">
        <f ca="1">SUMIF($B$2:$B$548,$Q$7,$J$2:$J$548)</f>
        <v>13151806.721180102</v>
      </c>
      <c r="S7" s="62">
        <f ca="1">SUMIF($B$2:$B$548,$Q$7,$K$2:$K$548)</f>
        <v>11502310.812577426</v>
      </c>
      <c r="T7" s="62">
        <f>SUMIF($B$2:$B$548,$Q$7,$L$2:$L$548)</f>
        <v>12348582.574231194</v>
      </c>
      <c r="U7" s="62">
        <f ca="1">SUMIF($B$2:$B$548,$Q$7,$M$2:$M$548)</f>
        <v>2200.6927331468892</v>
      </c>
      <c r="V7" s="62">
        <f ca="1">SUMIF($B$2:$B$548,$Q$7,$N$2:$N$548)</f>
        <v>1636.1876211657423</v>
      </c>
      <c r="W7" s="62">
        <f>SUMIF($B$2:$B$548,$Q$7,$O$2:$O$548)</f>
        <v>1402.4752944706402</v>
      </c>
      <c r="X7" s="42">
        <f ca="1">$R$7-$U$7</f>
        <v>13149606.028446956</v>
      </c>
      <c r="Y7" s="42">
        <f ca="1">$S$7-$V$7</f>
        <v>11500674.624956261</v>
      </c>
      <c r="Z7" s="42">
        <f>$T$7-$W$7</f>
        <v>12347180.098936724</v>
      </c>
      <c r="AA7" s="42">
        <f ca="1">SUMIF(EFEITO!$B$2:$B$548,$Q$7,EFEITO!$AE$2:$AE$548)</f>
        <v>13149606.028446956</v>
      </c>
      <c r="AB7" s="42">
        <f ca="1">SUMIF(EFEITO!$B$2:$B$548,$Q$7,EFEITO!$AF$2:$AF$548)</f>
        <v>11500674.624956254</v>
      </c>
      <c r="AC7" s="42">
        <f>SUMIF(EFEITO!$B$2:$B$548,$Q$7,EFEITO!$AG$2:$AH$548)</f>
        <v>12347180.09893672</v>
      </c>
      <c r="AD7" s="42">
        <f ca="1">SUMIF(SUBSIDIO!$B$2:$B$548,$Q$7,SUBSIDIO!$AD$2:$AD$548)</f>
        <v>2200.6927331468901</v>
      </c>
      <c r="AE7" s="42">
        <f ca="1">SUMIF(SUBSIDIO!$B$2:$B$548,$Q$7,SUBSIDIO!$AE$2:$AE$548)</f>
        <v>3038.6629156363751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34</v>
      </c>
      <c r="E8" s="41" t="s">
        <v>25</v>
      </c>
      <c r="F8" s="41" t="s">
        <v>25</v>
      </c>
      <c r="G8" s="41" t="s">
        <v>25</v>
      </c>
      <c r="H8" s="41" t="s">
        <v>38</v>
      </c>
      <c r="I8" s="61">
        <v>44621</v>
      </c>
      <c r="J8" s="62">
        <f ca="1">EFEITO!$J$8*EFEITO!$Y$8</f>
        <v>149001.30778077163</v>
      </c>
      <c r="K8" s="62">
        <f ca="1">EFEITO!$L$8*EFEITO!$Z$8</f>
        <v>101789.31909423172</v>
      </c>
      <c r="L8" s="62">
        <f>EFEITO!$N$8*EFEITO!$AA$8</f>
        <v>147133.58461065395</v>
      </c>
      <c r="M8" s="62">
        <f ca="1">$J$8-EFEITO!$K$8*EFEITO!$Y$8</f>
        <v>0</v>
      </c>
      <c r="N8" s="62">
        <f ca="1">$K$8-EFEITO!$M$8*EFEITO!$Z$8</f>
        <v>0</v>
      </c>
      <c r="O8" s="62">
        <f>$L$8-EFEITO!$O$8*EFEITO!$AA$8</f>
        <v>0</v>
      </c>
      <c r="P8" s="45"/>
      <c r="Q8" s="62" t="s">
        <v>582</v>
      </c>
      <c r="R8" s="62">
        <f>SUMIF($B$2:$B$548,$Q$8,$J$2:$J$548)</f>
        <v>0</v>
      </c>
      <c r="S8" s="62">
        <f>SUMIF($B$2:$B$548,$Q$8,$K$2:$K$548)</f>
        <v>0</v>
      </c>
      <c r="T8" s="62">
        <f>SUMIF($B$2:$B$548,$Q$8,$L$2:$L$548)</f>
        <v>0</v>
      </c>
      <c r="U8" s="62">
        <f>SUMIF($B$2:$B$548,$Q$8,$M$2:$M$548)</f>
        <v>0</v>
      </c>
      <c r="V8" s="62">
        <f>SUMIF($B$2:$B$548,$Q$8,$N$2:$N$548)</f>
        <v>0</v>
      </c>
      <c r="W8" s="62">
        <f>SUMIF($B$2:$B$548,$Q$8,$O$2:$O$548)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SUMIF(EFEITO!$B$2:$B$548,$Q$8,EFEITO!$AE$2:$AE$548)</f>
        <v>0</v>
      </c>
      <c r="AB8" s="42">
        <f>SUMIF(EFEITO!$B$2:$B$548,$Q$8,EFEITO!$AF$2:$AF$548)</f>
        <v>0</v>
      </c>
      <c r="AC8" s="42">
        <f>SUMIF(EFEITO!$B$2:$B$548,$Q$8,EFEITO!$AG$2:$AH$548)</f>
        <v>0</v>
      </c>
      <c r="AD8" s="42">
        <f>SUMIF(SUBSIDIO!$B$2:$B$548,$Q$8,SUBSIDIO!$AD$2:$AD$548)</f>
        <v>0</v>
      </c>
      <c r="AE8" s="42">
        <f>SUMIF(SUBSIDIO!$B$2:$B$548,$Q$8,SUBSIDIO!$AE$2:$AE$548)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34</v>
      </c>
      <c r="E9" s="41" t="s">
        <v>25</v>
      </c>
      <c r="F9" s="41" t="s">
        <v>25</v>
      </c>
      <c r="G9" s="41" t="s">
        <v>25</v>
      </c>
      <c r="H9" s="41" t="s">
        <v>38</v>
      </c>
      <c r="I9" s="61">
        <v>44652</v>
      </c>
      <c r="J9" s="62">
        <f ca="1">EFEITO!$J$9*EFEITO!$Y$9</f>
        <v>128329.73394181901</v>
      </c>
      <c r="K9" s="62">
        <f ca="1">EFEITO!$L$9*EFEITO!$Z$9</f>
        <v>106701.59272656703</v>
      </c>
      <c r="L9" s="62">
        <f>EFEITO!$N$9*EFEITO!$AA$9</f>
        <v>154234.13734590504</v>
      </c>
      <c r="M9" s="62">
        <f ca="1">$J$9-EFEITO!$K$9*EFEITO!$Y$9</f>
        <v>0</v>
      </c>
      <c r="N9" s="62">
        <f ca="1">$K$9-EFEITO!$M$9*EFEITO!$Z$9</f>
        <v>0</v>
      </c>
      <c r="O9" s="62">
        <f>$L$9-EFEITO!$O$9*EFEITO!$AA$9</f>
        <v>0</v>
      </c>
      <c r="P9" s="45"/>
      <c r="Q9" s="62" t="s">
        <v>22</v>
      </c>
      <c r="R9" s="62">
        <f>SUMIF($B$2:$B$548,$Q$9,$J$2:$J$548)</f>
        <v>0</v>
      </c>
      <c r="S9" s="62">
        <f ca="1">SUMIF($B$2:$B$548,$Q$9,$K$2:$K$548)</f>
        <v>18458970.282536611</v>
      </c>
      <c r="T9" s="62">
        <f>SUMIF($B$2:$B$548,$Q$9,$L$2:$L$548)</f>
        <v>4304425.100883252</v>
      </c>
      <c r="U9" s="62">
        <f>SUMIF($B$2:$B$548,$Q$9,$M$2:$M$548)</f>
        <v>0</v>
      </c>
      <c r="V9" s="62">
        <f ca="1">SUMIF($B$2:$B$548,$Q$9,$N$2:$N$548)</f>
        <v>166950.70656739056</v>
      </c>
      <c r="W9" s="62">
        <f>SUMIF($B$2:$B$548,$Q$9,$O$2:$O$548)</f>
        <v>46734.225409578219</v>
      </c>
      <c r="X9" s="42">
        <f>$R$9-$U$9</f>
        <v>0</v>
      </c>
      <c r="Y9" s="42">
        <f ca="1">$S$9-$V$9</f>
        <v>18292019.575969219</v>
      </c>
      <c r="Z9" s="42">
        <f>$T$9-$W$9</f>
        <v>4257690.8754736735</v>
      </c>
      <c r="AA9" s="42">
        <f>SUMIF(EFEITO!$B$2:$B$548,$Q$9,EFEITO!$AE$2:$AE$548)</f>
        <v>0</v>
      </c>
      <c r="AB9" s="42">
        <f ca="1">SUMIF(EFEITO!$B$2:$B$548,$Q$9,EFEITO!$AF$2:$AF$548)</f>
        <v>18292019.575969212</v>
      </c>
      <c r="AC9" s="42">
        <f>SUMIF(EFEITO!$B$2:$B$548,$Q$9,EFEITO!$AG$2:$AH$548)</f>
        <v>4257690.8754736735</v>
      </c>
      <c r="AD9" s="42">
        <f>SUMIF(SUBSIDIO!$B$2:$B$548,$Q$9,SUBSIDIO!$AD$2:$AD$548)</f>
        <v>0</v>
      </c>
      <c r="AE9" s="42">
        <f ca="1">SUMIF(SUBSIDIO!$B$2:$B$548,$Q$9,SUBSIDIO!$AE$2:$AE$548)</f>
        <v>213684.93197696874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34</v>
      </c>
      <c r="E10" s="41" t="s">
        <v>25</v>
      </c>
      <c r="F10" s="41" t="s">
        <v>25</v>
      </c>
      <c r="G10" s="41" t="s">
        <v>25</v>
      </c>
      <c r="H10" s="41" t="s">
        <v>38</v>
      </c>
      <c r="I10" s="61">
        <v>44682</v>
      </c>
      <c r="J10" s="62">
        <f ca="1">EFEITO!$J$10*EFEITO!$Y$10</f>
        <v>117993.94702234271</v>
      </c>
      <c r="K10" s="62">
        <f ca="1">EFEITO!$L$10*EFEITO!$Z$10</f>
        <v>108899.50720063628</v>
      </c>
      <c r="L10" s="62">
        <f>EFEITO!$N$10*EFEITO!$AA$10</f>
        <v>157411.16061430977</v>
      </c>
      <c r="M10" s="62">
        <f ca="1">$J$10-EFEITO!$K$10*EFEITO!$Y$10</f>
        <v>0</v>
      </c>
      <c r="N10" s="62">
        <f ca="1">$K$10-EFEITO!$M$10*EFEITO!$Z$10</f>
        <v>0</v>
      </c>
      <c r="O10" s="62">
        <f>$L$10-EFEITO!$O$10*EFEITO!$AA$10</f>
        <v>0</v>
      </c>
      <c r="P10" s="45"/>
      <c r="Q10" s="62" t="s">
        <v>43</v>
      </c>
      <c r="R10" s="62">
        <f>SUMIF($B$2:$B$548,$Q$10,$J$2:$J$548)</f>
        <v>0</v>
      </c>
      <c r="S10" s="62">
        <f ca="1">SUMIF($B$2:$B$548,$Q$10,$K$2:$K$548)</f>
        <v>1889536.6967633916</v>
      </c>
      <c r="T10" s="62">
        <f>SUMIF($B$2:$B$548,$Q$10,$L$2:$L$548)</f>
        <v>437390.60560050863</v>
      </c>
      <c r="U10" s="62">
        <f>SUMIF($B$2:$B$548,$Q$10,$M$2:$M$548)</f>
        <v>0</v>
      </c>
      <c r="V10" s="62">
        <f ca="1">SUMIF($B$2:$B$548,$Q$10,$N$2:$N$548)</f>
        <v>116515.58770766998</v>
      </c>
      <c r="W10" s="62">
        <f>SUMIF($B$2:$B$548,$Q$10,$O$2:$O$548)</f>
        <v>26971.068387637977</v>
      </c>
      <c r="X10" s="42">
        <f>$R$10-$U$10</f>
        <v>0</v>
      </c>
      <c r="Y10" s="42">
        <f ca="1">$S$10-$V$10</f>
        <v>1773021.1090557217</v>
      </c>
      <c r="Z10" s="42">
        <f>$T$10-$W$10</f>
        <v>410419.53721287067</v>
      </c>
      <c r="AA10" s="42">
        <f>SUMIF(EFEITO!$B$2:$B$548,$Q$10,EFEITO!$AE$2:$AE$548)</f>
        <v>0</v>
      </c>
      <c r="AB10" s="42">
        <f ca="1">SUMIF(EFEITO!$B$2:$B$548,$Q$10,EFEITO!$AF$2:$AF$548)</f>
        <v>1773021.1090557214</v>
      </c>
      <c r="AC10" s="42">
        <f>SUMIF(EFEITO!$B$2:$B$548,$Q$10,EFEITO!$AG$2:$AH$548)</f>
        <v>410419.53721287067</v>
      </c>
      <c r="AD10" s="42">
        <f>SUMIF(SUBSIDIO!$B$2:$B$548,$Q$10,SUBSIDIO!$AD$2:$AD$548)</f>
        <v>0</v>
      </c>
      <c r="AE10" s="42">
        <f ca="1">SUMIF(SUBSIDIO!$B$2:$B$548,$Q$10,SUBSIDIO!$AE$2:$AE$548)</f>
        <v>143486.65609530793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34</v>
      </c>
      <c r="E11" s="41" t="s">
        <v>25</v>
      </c>
      <c r="F11" s="41" t="s">
        <v>25</v>
      </c>
      <c r="G11" s="41" t="s">
        <v>25</v>
      </c>
      <c r="H11" s="41" t="s">
        <v>38</v>
      </c>
      <c r="I11" s="61">
        <v>44713</v>
      </c>
      <c r="J11" s="62">
        <f ca="1">EFEITO!$J$11*EFEITO!$Y$11</f>
        <v>140702.50076513374</v>
      </c>
      <c r="K11" s="62">
        <f ca="1">EFEITO!$L$11*EFEITO!$Z$11</f>
        <v>135889.60204699863</v>
      </c>
      <c r="L11" s="62">
        <f>EFEITO!$N$11*EFEITO!$AA$11</f>
        <v>196424.58008762926</v>
      </c>
      <c r="M11" s="62">
        <f ca="1">$J$11-EFEITO!$K$11*EFEITO!$Y$11</f>
        <v>0</v>
      </c>
      <c r="N11" s="62">
        <f ca="1">$K$11-EFEITO!$M$11*EFEITO!$Z$11</f>
        <v>0</v>
      </c>
      <c r="O11" s="62">
        <f>$L$11-EFEITO!$O$11*EFEITO!$AA$11</f>
        <v>0</v>
      </c>
      <c r="P11" s="45"/>
      <c r="Q11" s="62" t="s">
        <v>33</v>
      </c>
      <c r="R11" s="62">
        <f>SUMIF($B$2:$B$548,$Q$11,$J$2:$J$548)</f>
        <v>0</v>
      </c>
      <c r="S11" s="62">
        <f ca="1">SUMIF($B$2:$B$548,$Q$11,$K$2:$K$548)</f>
        <v>8648135.6948576812</v>
      </c>
      <c r="T11" s="62">
        <f>SUMIF($B$2:$B$548,$Q$11,$L$2:$L$548)</f>
        <v>2003978.2653939752</v>
      </c>
      <c r="U11" s="62">
        <f>SUMIF($B$2:$B$548,$Q$11,$M$2:$M$548)</f>
        <v>0</v>
      </c>
      <c r="V11" s="62">
        <f ca="1">SUMIF($B$2:$B$548,$Q$11,$N$2:$N$548)</f>
        <v>4288.5391610006609</v>
      </c>
      <c r="W11" s="62">
        <f>SUMIF($B$2:$B$548,$Q$11,$O$2:$O$548)</f>
        <v>992.71252259064204</v>
      </c>
      <c r="X11" s="42">
        <f>$R$11-$U$11</f>
        <v>0</v>
      </c>
      <c r="Y11" s="42">
        <f ca="1">$S$11-$V$11</f>
        <v>8643847.1556966808</v>
      </c>
      <c r="Z11" s="42">
        <f>$T$11-$W$11</f>
        <v>2002985.5528713847</v>
      </c>
      <c r="AA11" s="42">
        <f>SUMIF(EFEITO!$B$2:$B$548,$Q$11,EFEITO!$AE$2:$AE$548)</f>
        <v>0</v>
      </c>
      <c r="AB11" s="42">
        <f ca="1">SUMIF(EFEITO!$B$2:$B$548,$Q$11,EFEITO!$AF$2:$AF$548)</f>
        <v>8643847.1556966808</v>
      </c>
      <c r="AC11" s="42">
        <f>SUMIF(EFEITO!$B$2:$B$548,$Q$11,EFEITO!$AG$2:$AH$548)</f>
        <v>2002985.5528713847</v>
      </c>
      <c r="AD11" s="42">
        <f>SUMIF(SUBSIDIO!$B$2:$B$548,$Q$11,SUBSIDIO!$AD$2:$AD$548)</f>
        <v>0</v>
      </c>
      <c r="AE11" s="42">
        <f ca="1">SUMIF(SUBSIDIO!$B$2:$B$548,$Q$11,SUBSIDIO!$AE$2:$AE$548)</f>
        <v>5281.251683591282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34</v>
      </c>
      <c r="E12" s="41" t="s">
        <v>25</v>
      </c>
      <c r="F12" s="41" t="s">
        <v>25</v>
      </c>
      <c r="G12" s="41" t="s">
        <v>25</v>
      </c>
      <c r="H12" s="41" t="s">
        <v>38</v>
      </c>
      <c r="I12" s="61">
        <v>44743</v>
      </c>
      <c r="J12" s="62">
        <f ca="1">EFEITO!$J$12*EFEITO!$Y$12</f>
        <v>150698.79103397031</v>
      </c>
      <c r="K12" s="62">
        <f ca="1">EFEITO!$L$12*EFEITO!$Z$12</f>
        <v>138930.61435837319</v>
      </c>
      <c r="L12" s="62">
        <f>EFEITO!$N$12*EFEITO!$AA$12</f>
        <v>200820.27745744321</v>
      </c>
      <c r="M12" s="62">
        <f ca="1">$J$12-EFEITO!$K$12*EFEITO!$Y$12</f>
        <v>0</v>
      </c>
      <c r="N12" s="62">
        <f ca="1">$K$12-EFEITO!$M$12*EFEITO!$Z$12</f>
        <v>0</v>
      </c>
      <c r="O12" s="62">
        <f>$L$12-EFEITO!$O$12*EFEITO!$AA$12</f>
        <v>0</v>
      </c>
      <c r="P12" s="45"/>
      <c r="Q12" s="62" t="s">
        <v>46</v>
      </c>
      <c r="R12" s="62">
        <f>SUMIF($B$2:$B$548,$Q$12,$J$2:$J$548)</f>
        <v>0</v>
      </c>
      <c r="S12" s="62">
        <f ca="1">SUMIF($B$2:$B$548,$Q$12,$K$2:$K$548)</f>
        <v>1667577.7973736299</v>
      </c>
      <c r="T12" s="62">
        <f>SUMIF($B$2:$B$548,$Q$12,$L$2:$L$548)</f>
        <v>386011.4830945502</v>
      </c>
      <c r="U12" s="62">
        <f>SUMIF($B$2:$B$548,$Q$12,$M$2:$M$548)</f>
        <v>0</v>
      </c>
      <c r="V12" s="62">
        <f ca="1">SUMIF($B$2:$B$548,$Q$12,$N$2:$N$548)</f>
        <v>0</v>
      </c>
      <c r="W12" s="62">
        <f>SUMIF($B$2:$B$548,$Q$12,$O$2:$O$548)</f>
        <v>0</v>
      </c>
      <c r="X12" s="42">
        <f>$R$12-$U$12</f>
        <v>0</v>
      </c>
      <c r="Y12" s="42">
        <f ca="1">$S$12-$V$12</f>
        <v>1667577.7973736299</v>
      </c>
      <c r="Z12" s="42">
        <f>$T$12-$W$12</f>
        <v>386011.4830945502</v>
      </c>
      <c r="AA12" s="42">
        <f>SUMIF(EFEITO!$B$2:$B$548,$Q$12,EFEITO!$AE$2:$AE$548)</f>
        <v>0</v>
      </c>
      <c r="AB12" s="42">
        <f ca="1">SUMIF(EFEITO!$B$2:$B$548,$Q$12,EFEITO!$AF$2:$AF$548)</f>
        <v>1667577.7973736299</v>
      </c>
      <c r="AC12" s="42">
        <f>SUMIF(EFEITO!$B$2:$B$548,$Q$12,EFEITO!$AG$2:$AH$548)</f>
        <v>386011.4830945502</v>
      </c>
      <c r="AD12" s="42">
        <f>SUMIF(SUBSIDIO!$B$2:$B$548,$Q$12,SUBSIDIO!$AD$2:$AD$548)</f>
        <v>0</v>
      </c>
      <c r="AE12" s="42">
        <f>SUMIF(SUBSIDIO!$B$2:$B$548,$Q$12,SUBSIDIO!$AE$2:$AE$548)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55</v>
      </c>
      <c r="B13" s="41" t="s">
        <v>35</v>
      </c>
      <c r="C13" s="41" t="s">
        <v>36</v>
      </c>
      <c r="D13" s="41" t="s">
        <v>34</v>
      </c>
      <c r="E13" s="41" t="s">
        <v>25</v>
      </c>
      <c r="F13" s="41" t="s">
        <v>25</v>
      </c>
      <c r="G13" s="41" t="s">
        <v>25</v>
      </c>
      <c r="H13" s="41" t="s">
        <v>38</v>
      </c>
      <c r="I13" s="61">
        <v>44774</v>
      </c>
      <c r="J13" s="62">
        <f ca="1">EFEITO!$J$13*EFEITO!$Y$13</f>
        <v>150698.79103397031</v>
      </c>
      <c r="K13" s="62">
        <f ca="1">EFEITO!$L$13*EFEITO!$Z$13</f>
        <v>138930.61435837319</v>
      </c>
      <c r="L13" s="62">
        <f>EFEITO!$N$13*EFEITO!$AA$13</f>
        <v>200820.27745744321</v>
      </c>
      <c r="M13" s="62">
        <f ca="1">$J$13-EFEITO!$K$13*EFEITO!$Y$13</f>
        <v>0</v>
      </c>
      <c r="N13" s="62">
        <f ca="1">$K$13-EFEITO!$M$13*EFEITO!$Z$13</f>
        <v>0</v>
      </c>
      <c r="O13" s="62">
        <f>$L$13-EFEITO!$O$13*EFEITO!$AA$13</f>
        <v>0</v>
      </c>
      <c r="P13" s="45"/>
      <c r="Q13" s="62" t="s">
        <v>81</v>
      </c>
      <c r="R13" s="62">
        <f>SUMIF($B$2:$B$548,$Q$13,$J$2:$J$548)</f>
        <v>0</v>
      </c>
      <c r="S13" s="62">
        <f>SUMIF($B$2:$B$548,$Q$13,$K$2:$K$548)</f>
        <v>0</v>
      </c>
      <c r="T13" s="62">
        <f>SUMIF($B$2:$B$548,$Q$13,$L$2:$L$548)</f>
        <v>0</v>
      </c>
      <c r="U13" s="62">
        <f>SUMIF($B$2:$B$548,$Q$13,$M$2:$M$548)</f>
        <v>0</v>
      </c>
      <c r="V13" s="62">
        <f>SUMIF($B$2:$B$548,$Q$13,$N$2:$N$548)</f>
        <v>0</v>
      </c>
      <c r="W13" s="62">
        <f>SUMIF($B$2:$B$548,$Q$13,$O$2:$O$548)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SUMIF(EFEITO!$B$2:$B$548,$Q$13,EFEITO!$AE$2:$AE$548)</f>
        <v>0</v>
      </c>
      <c r="AB13" s="42">
        <f>SUMIF(EFEITO!$B$2:$B$548,$Q$13,EFEITO!$AF$2:$AF$548)</f>
        <v>0</v>
      </c>
      <c r="AC13" s="42">
        <f>SUMIF(EFEITO!$B$2:$B$548,$Q$13,EFEITO!$AG$2:$AH$548)</f>
        <v>0</v>
      </c>
      <c r="AD13" s="42">
        <f>SUMIF(SUBSIDIO!$B$2:$B$548,$Q$13,SUBSIDIO!$AD$2:$AD$548)</f>
        <v>0</v>
      </c>
      <c r="AE13" s="42">
        <f>SUMIF(SUBSIDIO!$B$2:$B$548,$Q$13,SUBSIDIO!$AE$2:$AE$548)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34</v>
      </c>
      <c r="E14" s="41" t="s">
        <v>25</v>
      </c>
      <c r="F14" s="41" t="s">
        <v>25</v>
      </c>
      <c r="G14" s="41" t="s">
        <v>25</v>
      </c>
      <c r="H14" s="41" t="s">
        <v>37</v>
      </c>
      <c r="I14" s="61">
        <v>44440</v>
      </c>
      <c r="J14" s="62">
        <f ca="1">EFEITO!$J$14*EFEITO!$Y$14</f>
        <v>129167.91205722615</v>
      </c>
      <c r="K14" s="62">
        <f ca="1">EFEITO!$L$14*EFEITO!$Z$14</f>
        <v>6189.8693124761048</v>
      </c>
      <c r="L14" s="62">
        <f>EFEITO!$N$14*EFEITO!$AA$14</f>
        <v>8947.2811913888108</v>
      </c>
      <c r="M14" s="62">
        <f ca="1">$J$14-EFEITO!$K$14*EFEITO!$Y$14</f>
        <v>0</v>
      </c>
      <c r="N14" s="62">
        <f ca="1">$K$14-EFEITO!$M$14*EFEITO!$Z$14</f>
        <v>0</v>
      </c>
      <c r="O14" s="62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34</v>
      </c>
      <c r="E15" s="41" t="s">
        <v>25</v>
      </c>
      <c r="F15" s="41" t="s">
        <v>25</v>
      </c>
      <c r="G15" s="41" t="s">
        <v>25</v>
      </c>
      <c r="H15" s="41" t="s">
        <v>37</v>
      </c>
      <c r="I15" s="61">
        <v>44470</v>
      </c>
      <c r="J15" s="62">
        <f ca="1">EFEITO!$J$15*EFEITO!$Y$15</f>
        <v>134010.39286784749</v>
      </c>
      <c r="K15" s="62">
        <f ca="1">EFEITO!$L$15*EFEITO!$Z$15</f>
        <v>6593.7434222076681</v>
      </c>
      <c r="L15" s="62">
        <f>EFEITO!$N$15*EFEITO!$AA$15</f>
        <v>9531.0698052140997</v>
      </c>
      <c r="M15" s="62">
        <f ca="1">$J$15-EFEITO!$K$15*EFEITO!$Y$15</f>
        <v>0</v>
      </c>
      <c r="N15" s="62">
        <f ca="1">$K$15-EFEITO!$M$15*EFEITO!$Z$15</f>
        <v>0</v>
      </c>
      <c r="O15" s="62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34</v>
      </c>
      <c r="E16" s="41" t="s">
        <v>25</v>
      </c>
      <c r="F16" s="41" t="s">
        <v>25</v>
      </c>
      <c r="G16" s="41" t="s">
        <v>25</v>
      </c>
      <c r="H16" s="41" t="s">
        <v>37</v>
      </c>
      <c r="I16" s="61">
        <v>44501</v>
      </c>
      <c r="J16" s="62">
        <f ca="1">EFEITO!$J$16*EFEITO!$Y$16</f>
        <v>130431.1679208665</v>
      </c>
      <c r="K16" s="62">
        <f ca="1">EFEITO!$L$16*EFEITO!$Z$16</f>
        <v>6303.0069931100115</v>
      </c>
      <c r="L16" s="62">
        <f>EFEITO!$N$16*EFEITO!$AA$16</f>
        <v>9110.818511947873</v>
      </c>
      <c r="M16" s="62">
        <f ca="1">$J$16-EFEITO!$K$16*EFEITO!$Y$16</f>
        <v>0</v>
      </c>
      <c r="N16" s="62">
        <f ca="1">$K$16-EFEITO!$M$16*EFEITO!$Z$16</f>
        <v>0</v>
      </c>
      <c r="O16" s="62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34</v>
      </c>
      <c r="E17" s="41" t="s">
        <v>25</v>
      </c>
      <c r="F17" s="41" t="s">
        <v>25</v>
      </c>
      <c r="G17" s="41" t="s">
        <v>25</v>
      </c>
      <c r="H17" s="41" t="s">
        <v>37</v>
      </c>
      <c r="I17" s="61">
        <v>44531</v>
      </c>
      <c r="J17" s="62">
        <f ca="1">EFEITO!$J$17*EFEITO!$Y$17</f>
        <v>140537.21482998933</v>
      </c>
      <c r="K17" s="62">
        <f ca="1">EFEITO!$L$17*EFEITO!$Z$17</f>
        <v>5414.0680738436031</v>
      </c>
      <c r="L17" s="62">
        <f>EFEITO!$N$17*EFEITO!$AA$17</f>
        <v>7825.8824218409563</v>
      </c>
      <c r="M17" s="62">
        <f ca="1">$J$17-EFEITO!$K$17*EFEITO!$Y$17</f>
        <v>0</v>
      </c>
      <c r="N17" s="62">
        <f ca="1">$K$17-EFEITO!$M$17*EFEITO!$Z$17</f>
        <v>0</v>
      </c>
      <c r="O17" s="62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34</v>
      </c>
      <c r="E18" s="41" t="s">
        <v>25</v>
      </c>
      <c r="F18" s="41" t="s">
        <v>25</v>
      </c>
      <c r="G18" s="41" t="s">
        <v>25</v>
      </c>
      <c r="H18" s="41" t="s">
        <v>37</v>
      </c>
      <c r="I18" s="61">
        <v>44562</v>
      </c>
      <c r="J18" s="62">
        <f ca="1">EFEITO!$J$18*EFEITO!$Y$18</f>
        <v>101586.82570107843</v>
      </c>
      <c r="K18" s="62">
        <f ca="1">EFEITO!$L$18*EFEITO!$Z$18</f>
        <v>4976.3566293861086</v>
      </c>
      <c r="L18" s="62">
        <f>EFEITO!$N$18*EFEITO!$AA$18</f>
        <v>7193.1828967707679</v>
      </c>
      <c r="M18" s="62">
        <f ca="1">$J$18-EFEITO!$K$18*EFEITO!$Y$18</f>
        <v>0</v>
      </c>
      <c r="N18" s="62">
        <f ca="1">$K$18-EFEITO!$M$18*EFEITO!$Z$18</f>
        <v>0</v>
      </c>
      <c r="O18" s="62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34</v>
      </c>
      <c r="E19" s="41" t="s">
        <v>25</v>
      </c>
      <c r="F19" s="41" t="s">
        <v>25</v>
      </c>
      <c r="G19" s="41" t="s">
        <v>25</v>
      </c>
      <c r="H19" s="41" t="s">
        <v>37</v>
      </c>
      <c r="I19" s="61">
        <v>44593</v>
      </c>
      <c r="J19" s="62">
        <f ca="1">EFEITO!$J$19*EFEITO!$Y$19</f>
        <v>11369.302772763182</v>
      </c>
      <c r="K19" s="62">
        <f ca="1">EFEITO!$L$19*EFEITO!$Z$19</f>
        <v>303.68535328048563</v>
      </c>
      <c r="L19" s="62">
        <f>EFEITO!$N$19*EFEITO!$AA$19</f>
        <v>438.96859729011356</v>
      </c>
      <c r="M19" s="62">
        <f ca="1">$J$19-EFEITO!$K$19*EFEITO!$Y$19</f>
        <v>0</v>
      </c>
      <c r="N19" s="62">
        <f ca="1">$K$19-EFEITO!$M$19*EFEITO!$Z$19</f>
        <v>0</v>
      </c>
      <c r="O19" s="62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34</v>
      </c>
      <c r="E20" s="41" t="s">
        <v>25</v>
      </c>
      <c r="F20" s="41" t="s">
        <v>25</v>
      </c>
      <c r="G20" s="41" t="s">
        <v>25</v>
      </c>
      <c r="H20" s="41" t="s">
        <v>37</v>
      </c>
      <c r="I20" s="61">
        <v>44621</v>
      </c>
      <c r="J20" s="62">
        <f ca="1">EFEITO!$J$20*EFEITO!$Y$20</f>
        <v>22212.248935676216</v>
      </c>
      <c r="K20" s="62">
        <f ca="1">EFEITO!$L$20*EFEITO!$Z$20</f>
        <v>494.70561440089068</v>
      </c>
      <c r="L20" s="62">
        <f>EFEITO!$N$20*EFEITO!$AA$20</f>
        <v>715.08298730670845</v>
      </c>
      <c r="M20" s="62">
        <f ca="1">$J$20-EFEITO!$K$20*EFEITO!$Y$20</f>
        <v>0</v>
      </c>
      <c r="N20" s="62">
        <f ca="1">$K$20-EFEITO!$M$20*EFEITO!$Z$20</f>
        <v>0</v>
      </c>
      <c r="O20" s="62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34</v>
      </c>
      <c r="E21" s="41" t="s">
        <v>25</v>
      </c>
      <c r="F21" s="41" t="s">
        <v>25</v>
      </c>
      <c r="G21" s="41" t="s">
        <v>25</v>
      </c>
      <c r="H21" s="41" t="s">
        <v>37</v>
      </c>
      <c r="I21" s="61">
        <v>44652</v>
      </c>
      <c r="J21" s="62">
        <f ca="1">EFEITO!$J$21*EFEITO!$Y$21</f>
        <v>31370.853947068779</v>
      </c>
      <c r="K21" s="62">
        <f ca="1">EFEITO!$L$21*EFEITO!$Z$21</f>
        <v>669.75238510598228</v>
      </c>
      <c r="L21" s="62">
        <f>EFEITO!$N$21*EFEITO!$AA$21</f>
        <v>968.10814827194054</v>
      </c>
      <c r="M21" s="62">
        <f ca="1">$J$21-EFEITO!$K$21*EFEITO!$Y$21</f>
        <v>0</v>
      </c>
      <c r="N21" s="62">
        <f ca="1">$K$21-EFEITO!$M$21*EFEITO!$Z$21</f>
        <v>0</v>
      </c>
      <c r="O21" s="62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34</v>
      </c>
      <c r="E22" s="41" t="s">
        <v>25</v>
      </c>
      <c r="F22" s="41" t="s">
        <v>25</v>
      </c>
      <c r="G22" s="41" t="s">
        <v>25</v>
      </c>
      <c r="H22" s="41" t="s">
        <v>37</v>
      </c>
      <c r="I22" s="61">
        <v>44682</v>
      </c>
      <c r="J22" s="62">
        <f ca="1">EFEITO!$J$22*EFEITO!$Y$22</f>
        <v>10527.132197002946</v>
      </c>
      <c r="K22" s="62">
        <f ca="1">EFEITO!$L$22*EFEITO!$Z$22</f>
        <v>279.58334111536772</v>
      </c>
      <c r="L22" s="62">
        <f>EFEITO!$N$22*EFEITO!$AA$22</f>
        <v>404.12981972740613</v>
      </c>
      <c r="M22" s="62">
        <f ca="1">$J$22-EFEITO!$K$22*EFEITO!$Y$22</f>
        <v>0</v>
      </c>
      <c r="N22" s="62">
        <f ca="1">$K$22-EFEITO!$M$22*EFEITO!$Z$22</f>
        <v>0</v>
      </c>
      <c r="O22" s="62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34</v>
      </c>
      <c r="E23" s="41" t="s">
        <v>25</v>
      </c>
      <c r="F23" s="41" t="s">
        <v>25</v>
      </c>
      <c r="G23" s="41" t="s">
        <v>25</v>
      </c>
      <c r="H23" s="41" t="s">
        <v>37</v>
      </c>
      <c r="I23" s="61">
        <v>44713</v>
      </c>
      <c r="J23" s="62">
        <f ca="1">EFEITO!$J$23*EFEITO!$Y$23</f>
        <v>11053.488806853093</v>
      </c>
      <c r="K23" s="62">
        <f ca="1">EFEITO!$L$23*EFEITO!$Z$23</f>
        <v>324.76279921311811</v>
      </c>
      <c r="L23" s="62">
        <f>EFEITO!$N$23*EFEITO!$AA$23</f>
        <v>469.43544982534394</v>
      </c>
      <c r="M23" s="62">
        <f ca="1">$J$23-EFEITO!$K$23*EFEITO!$Y$23</f>
        <v>0</v>
      </c>
      <c r="N23" s="62">
        <f ca="1">$K$23-EFEITO!$M$23*EFEITO!$Z$23</f>
        <v>0</v>
      </c>
      <c r="O23" s="62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34</v>
      </c>
      <c r="E24" s="41" t="s">
        <v>25</v>
      </c>
      <c r="F24" s="41" t="s">
        <v>25</v>
      </c>
      <c r="G24" s="41" t="s">
        <v>25</v>
      </c>
      <c r="H24" s="41" t="s">
        <v>37</v>
      </c>
      <c r="I24" s="61">
        <v>44743</v>
      </c>
      <c r="J24" s="62">
        <f ca="1">EFEITO!$J$24*EFEITO!$Y$24</f>
        <v>11053.488806853093</v>
      </c>
      <c r="K24" s="62">
        <f ca="1">EFEITO!$L$24*EFEITO!$Z$24</f>
        <v>337.23913492212034</v>
      </c>
      <c r="L24" s="62">
        <f>EFEITO!$N$24*EFEITO!$AA$24</f>
        <v>487.46964056368665</v>
      </c>
      <c r="M24" s="62">
        <f ca="1">$J$24-EFEITO!$K$24*EFEITO!$Y$24</f>
        <v>0</v>
      </c>
      <c r="N24" s="62">
        <f ca="1">$K$24-EFEITO!$M$24*EFEITO!$Z$24</f>
        <v>0</v>
      </c>
      <c r="O24" s="62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41" t="s">
        <v>55</v>
      </c>
      <c r="B25" s="41" t="s">
        <v>35</v>
      </c>
      <c r="C25" s="41" t="s">
        <v>36</v>
      </c>
      <c r="D25" s="41" t="s">
        <v>34</v>
      </c>
      <c r="E25" s="41" t="s">
        <v>25</v>
      </c>
      <c r="F25" s="41" t="s">
        <v>25</v>
      </c>
      <c r="G25" s="41" t="s">
        <v>25</v>
      </c>
      <c r="H25" s="41" t="s">
        <v>37</v>
      </c>
      <c r="I25" s="61">
        <v>44774</v>
      </c>
      <c r="J25" s="62">
        <f ca="1">EFEITO!$J$25*EFEITO!$Y$25</f>
        <v>11053.488806853093</v>
      </c>
      <c r="K25" s="62">
        <f ca="1">EFEITO!$L$25*EFEITO!$Z$25</f>
        <v>337.23913492212034</v>
      </c>
      <c r="L25" s="62">
        <f>EFEITO!$N$25*EFEITO!$AA$25</f>
        <v>487.46964056368665</v>
      </c>
      <c r="M25" s="62">
        <f ca="1">$J$25-EFEITO!$K$25*EFEITO!$Y$25</f>
        <v>0</v>
      </c>
      <c r="N25" s="62">
        <f ca="1">$K$25-EFEITO!$M$25*EFEITO!$Z$25</f>
        <v>0</v>
      </c>
      <c r="O25" s="62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41" t="s">
        <v>21</v>
      </c>
      <c r="B26" s="41" t="s">
        <v>35</v>
      </c>
      <c r="C26" s="41" t="s">
        <v>39</v>
      </c>
      <c r="D26" s="41" t="s">
        <v>40</v>
      </c>
      <c r="E26" s="41" t="s">
        <v>25</v>
      </c>
      <c r="F26" s="41" t="s">
        <v>25</v>
      </c>
      <c r="G26" s="41" t="s">
        <v>25</v>
      </c>
      <c r="H26" s="41" t="s">
        <v>38</v>
      </c>
      <c r="I26" s="61">
        <v>44440</v>
      </c>
      <c r="J26" s="62">
        <f>EFEITO!$J$26*EFEITO!$Y$26</f>
        <v>0</v>
      </c>
      <c r="K26" s="62">
        <f ca="1">EFEITO!$L$26*EFEITO!$Z$26</f>
        <v>35573.435743376845</v>
      </c>
      <c r="L26" s="62">
        <f>EFEITO!$N$26*EFEITO!$AA$26</f>
        <v>51420.396210670857</v>
      </c>
      <c r="M26" s="62">
        <f>$J$26-EFEITO!$K$26*EFEITO!$Y$26</f>
        <v>0</v>
      </c>
      <c r="N26" s="62">
        <f ca="1">$K$26-EFEITO!$M$26*EFEITO!$Z$26</f>
        <v>0</v>
      </c>
      <c r="O26" s="62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41" t="s">
        <v>21</v>
      </c>
      <c r="B27" s="41" t="s">
        <v>35</v>
      </c>
      <c r="C27" s="41" t="s">
        <v>39</v>
      </c>
      <c r="D27" s="41" t="s">
        <v>40</v>
      </c>
      <c r="E27" s="41" t="s">
        <v>25</v>
      </c>
      <c r="F27" s="41" t="s">
        <v>25</v>
      </c>
      <c r="G27" s="41" t="s">
        <v>25</v>
      </c>
      <c r="H27" s="41" t="s">
        <v>38</v>
      </c>
      <c r="I27" s="61">
        <v>44470</v>
      </c>
      <c r="J27" s="62">
        <f>EFEITO!$J$27*EFEITO!$Y$27</f>
        <v>0</v>
      </c>
      <c r="K27" s="62">
        <f ca="1">EFEITO!$L$27*EFEITO!$Z$27</f>
        <v>37141.578817225753</v>
      </c>
      <c r="L27" s="62">
        <f>EFEITO!$N$27*EFEITO!$AA$27</f>
        <v>53687.102714760578</v>
      </c>
      <c r="M27" s="62">
        <f>$J$27-EFEITO!$K$27*EFEITO!$Y$27</f>
        <v>0</v>
      </c>
      <c r="N27" s="62">
        <f ca="1">$K$27-EFEITO!$M$27*EFEITO!$Z$27</f>
        <v>0</v>
      </c>
      <c r="O27" s="62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41" t="s">
        <v>21</v>
      </c>
      <c r="B28" s="41" t="s">
        <v>35</v>
      </c>
      <c r="C28" s="41" t="s">
        <v>39</v>
      </c>
      <c r="D28" s="41" t="s">
        <v>40</v>
      </c>
      <c r="E28" s="41" t="s">
        <v>25</v>
      </c>
      <c r="F28" s="41" t="s">
        <v>25</v>
      </c>
      <c r="G28" s="41" t="s">
        <v>25</v>
      </c>
      <c r="H28" s="41" t="s">
        <v>38</v>
      </c>
      <c r="I28" s="61">
        <v>44501</v>
      </c>
      <c r="J28" s="62">
        <f>EFEITO!$J$28*EFEITO!$Y$28</f>
        <v>0</v>
      </c>
      <c r="K28" s="62">
        <f ca="1">EFEITO!$L$28*EFEITO!$Z$28</f>
        <v>36911.995336641157</v>
      </c>
      <c r="L28" s="62">
        <f>EFEITO!$N$28*EFEITO!$AA$28</f>
        <v>53355.246280643645</v>
      </c>
      <c r="M28" s="62">
        <f>$J$28-EFEITO!$K$28*EFEITO!$Y$28</f>
        <v>0</v>
      </c>
      <c r="N28" s="62">
        <f ca="1">$K$28-EFEITO!$M$28*EFEITO!$Z$28</f>
        <v>0</v>
      </c>
      <c r="O28" s="62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41" t="s">
        <v>21</v>
      </c>
      <c r="B29" s="41" t="s">
        <v>35</v>
      </c>
      <c r="C29" s="41" t="s">
        <v>39</v>
      </c>
      <c r="D29" s="41" t="s">
        <v>40</v>
      </c>
      <c r="E29" s="41" t="s">
        <v>25</v>
      </c>
      <c r="F29" s="41" t="s">
        <v>25</v>
      </c>
      <c r="G29" s="41" t="s">
        <v>25</v>
      </c>
      <c r="H29" s="41" t="s">
        <v>38</v>
      </c>
      <c r="I29" s="61">
        <v>44531</v>
      </c>
      <c r="J29" s="62">
        <f>EFEITO!$J$29*EFEITO!$Y$29</f>
        <v>0</v>
      </c>
      <c r="K29" s="62">
        <f ca="1">EFEITO!$L$29*EFEITO!$Z$29</f>
        <v>39342.612375222227</v>
      </c>
      <c r="L29" s="62">
        <f>EFEITO!$N$29*EFEITO!$AA$29</f>
        <v>56868.634530849857</v>
      </c>
      <c r="M29" s="62">
        <f>$J$29-EFEITO!$K$29*EFEITO!$Y$29</f>
        <v>0</v>
      </c>
      <c r="N29" s="62">
        <f ca="1">$K$29-EFEITO!$M$29*EFEITO!$Z$29</f>
        <v>0</v>
      </c>
      <c r="O29" s="62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41" t="s">
        <v>21</v>
      </c>
      <c r="B30" s="41" t="s">
        <v>35</v>
      </c>
      <c r="C30" s="41" t="s">
        <v>39</v>
      </c>
      <c r="D30" s="41" t="s">
        <v>40</v>
      </c>
      <c r="E30" s="41" t="s">
        <v>25</v>
      </c>
      <c r="F30" s="41" t="s">
        <v>25</v>
      </c>
      <c r="G30" s="41" t="s">
        <v>25</v>
      </c>
      <c r="H30" s="41" t="s">
        <v>38</v>
      </c>
      <c r="I30" s="61">
        <v>44562</v>
      </c>
      <c r="J30" s="62">
        <f>EFEITO!$J$30*EFEITO!$Y$30</f>
        <v>0</v>
      </c>
      <c r="K30" s="62">
        <f ca="1">EFEITO!$L$30*EFEITO!$Z$30</f>
        <v>37719.36548532523</v>
      </c>
      <c r="L30" s="62">
        <f>EFEITO!$N$30*EFEITO!$AA$30</f>
        <v>54522.277017665794</v>
      </c>
      <c r="M30" s="62">
        <f>$J$30-EFEITO!$K$30*EFEITO!$Y$30</f>
        <v>0</v>
      </c>
      <c r="N30" s="62">
        <f ca="1">$K$30-EFEITO!$M$30*EFEITO!$Z$30</f>
        <v>0</v>
      </c>
      <c r="O30" s="62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41" t="s">
        <v>21</v>
      </c>
      <c r="B31" s="41" t="s">
        <v>35</v>
      </c>
      <c r="C31" s="41" t="s">
        <v>39</v>
      </c>
      <c r="D31" s="41" t="s">
        <v>40</v>
      </c>
      <c r="E31" s="41" t="s">
        <v>25</v>
      </c>
      <c r="F31" s="41" t="s">
        <v>25</v>
      </c>
      <c r="G31" s="41" t="s">
        <v>25</v>
      </c>
      <c r="H31" s="41" t="s">
        <v>38</v>
      </c>
      <c r="I31" s="61">
        <v>44593</v>
      </c>
      <c r="J31" s="62">
        <f>EFEITO!$J$31*EFEITO!$Y$31</f>
        <v>0</v>
      </c>
      <c r="K31" s="62">
        <f ca="1">EFEITO!$L$31*EFEITO!$Z$31</f>
        <v>42889.105318200869</v>
      </c>
      <c r="L31" s="62">
        <f>EFEITO!$N$31*EFEITO!$AA$31</f>
        <v>61994.989870880869</v>
      </c>
      <c r="M31" s="62">
        <f>$J$31-EFEITO!$K$31*EFEITO!$Y$31</f>
        <v>0</v>
      </c>
      <c r="N31" s="62">
        <f ca="1">$K$31-EFEITO!$M$31*EFEITO!$Z$31</f>
        <v>0</v>
      </c>
      <c r="O31" s="62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41" t="s">
        <v>21</v>
      </c>
      <c r="B32" s="41" t="s">
        <v>35</v>
      </c>
      <c r="C32" s="41" t="s">
        <v>39</v>
      </c>
      <c r="D32" s="41" t="s">
        <v>40</v>
      </c>
      <c r="E32" s="41" t="s">
        <v>25</v>
      </c>
      <c r="F32" s="41" t="s">
        <v>25</v>
      </c>
      <c r="G32" s="41" t="s">
        <v>25</v>
      </c>
      <c r="H32" s="41" t="s">
        <v>38</v>
      </c>
      <c r="I32" s="61">
        <v>44621</v>
      </c>
      <c r="J32" s="62">
        <f>EFEITO!$J$32*EFEITO!$Y$32</f>
        <v>0</v>
      </c>
      <c r="K32" s="62">
        <f ca="1">EFEITO!$L$32*EFEITO!$Z$32</f>
        <v>41018.600138798189</v>
      </c>
      <c r="L32" s="62">
        <f>EFEITO!$N$32*EFEITO!$AA$32</f>
        <v>59291.227486700562</v>
      </c>
      <c r="M32" s="62">
        <f>$J$32-EFEITO!$K$32*EFEITO!$Y$32</f>
        <v>0</v>
      </c>
      <c r="N32" s="62">
        <f ca="1">$K$32-EFEITO!$M$32*EFEITO!$Z$32</f>
        <v>0</v>
      </c>
      <c r="O32" s="62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41" t="s">
        <v>21</v>
      </c>
      <c r="B33" s="41" t="s">
        <v>35</v>
      </c>
      <c r="C33" s="41" t="s">
        <v>39</v>
      </c>
      <c r="D33" s="41" t="s">
        <v>40</v>
      </c>
      <c r="E33" s="41" t="s">
        <v>25</v>
      </c>
      <c r="F33" s="41" t="s">
        <v>25</v>
      </c>
      <c r="G33" s="41" t="s">
        <v>25</v>
      </c>
      <c r="H33" s="41" t="s">
        <v>38</v>
      </c>
      <c r="I33" s="61">
        <v>44652</v>
      </c>
      <c r="J33" s="62">
        <f>EFEITO!$J$33*EFEITO!$Y$33</f>
        <v>0</v>
      </c>
      <c r="K33" s="62">
        <f ca="1">EFEITO!$L$33*EFEITO!$Z$33</f>
        <v>43071.52446909764</v>
      </c>
      <c r="L33" s="62">
        <f>EFEITO!$N$33*EFEITO!$AA$33</f>
        <v>62258.671599100577</v>
      </c>
      <c r="M33" s="62">
        <f>$J$33-EFEITO!$K$33*EFEITO!$Y$33</f>
        <v>0</v>
      </c>
      <c r="N33" s="62">
        <f ca="1">$K$33-EFEITO!$M$33*EFEITO!$Z$33</f>
        <v>0</v>
      </c>
      <c r="O33" s="62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41" t="s">
        <v>21</v>
      </c>
      <c r="B34" s="41" t="s">
        <v>35</v>
      </c>
      <c r="C34" s="41" t="s">
        <v>39</v>
      </c>
      <c r="D34" s="41" t="s">
        <v>40</v>
      </c>
      <c r="E34" s="41" t="s">
        <v>25</v>
      </c>
      <c r="F34" s="41" t="s">
        <v>25</v>
      </c>
      <c r="G34" s="41" t="s">
        <v>25</v>
      </c>
      <c r="H34" s="41" t="s">
        <v>38</v>
      </c>
      <c r="I34" s="61">
        <v>44682</v>
      </c>
      <c r="J34" s="62">
        <f>EFEITO!$J$34*EFEITO!$Y$34</f>
        <v>0</v>
      </c>
      <c r="K34" s="62">
        <f ca="1">EFEITO!$L$34*EFEITO!$Z$34</f>
        <v>36688.271953132011</v>
      </c>
      <c r="L34" s="62">
        <f>EFEITO!$N$34*EFEITO!$AA$34</f>
        <v>53031.860451267465</v>
      </c>
      <c r="M34" s="62">
        <f>$J$34-EFEITO!$K$34*EFEITO!$Y$34</f>
        <v>0</v>
      </c>
      <c r="N34" s="62">
        <f ca="1">$K$34-EFEITO!$M$34*EFEITO!$Z$34</f>
        <v>0</v>
      </c>
      <c r="O34" s="62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41" t="s">
        <v>21</v>
      </c>
      <c r="B35" s="41" t="s">
        <v>35</v>
      </c>
      <c r="C35" s="41" t="s">
        <v>39</v>
      </c>
      <c r="D35" s="41" t="s">
        <v>40</v>
      </c>
      <c r="E35" s="41" t="s">
        <v>25</v>
      </c>
      <c r="F35" s="41" t="s">
        <v>25</v>
      </c>
      <c r="G35" s="41" t="s">
        <v>25</v>
      </c>
      <c r="H35" s="41" t="s">
        <v>38</v>
      </c>
      <c r="I35" s="61">
        <v>44713</v>
      </c>
      <c r="J35" s="62">
        <f>EFEITO!$J$35*EFEITO!$Y$35</f>
        <v>0</v>
      </c>
      <c r="K35" s="62">
        <f ca="1">EFEITO!$L$35*EFEITO!$Z$35</f>
        <v>38508.777272003914</v>
      </c>
      <c r="L35" s="62">
        <f>EFEITO!$N$35*EFEITO!$AA$35</f>
        <v>55663.349449837289</v>
      </c>
      <c r="M35" s="62">
        <f>$J$35-EFEITO!$K$35*EFEITO!$Y$35</f>
        <v>0</v>
      </c>
      <c r="N35" s="62">
        <f ca="1">$K$35-EFEITO!$M$35*EFEITO!$Z$35</f>
        <v>0</v>
      </c>
      <c r="O35" s="62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41" t="s">
        <v>21</v>
      </c>
      <c r="B36" s="41" t="s">
        <v>35</v>
      </c>
      <c r="C36" s="41" t="s">
        <v>39</v>
      </c>
      <c r="D36" s="41" t="s">
        <v>40</v>
      </c>
      <c r="E36" s="41" t="s">
        <v>25</v>
      </c>
      <c r="F36" s="41" t="s">
        <v>25</v>
      </c>
      <c r="G36" s="41" t="s">
        <v>25</v>
      </c>
      <c r="H36" s="41" t="s">
        <v>38</v>
      </c>
      <c r="I36" s="61">
        <v>44743</v>
      </c>
      <c r="J36" s="62">
        <f>EFEITO!$J$36*EFEITO!$Y$36</f>
        <v>0</v>
      </c>
      <c r="K36" s="62">
        <f ca="1">EFEITO!$L$36*EFEITO!$Z$36</f>
        <v>37981.179499824742</v>
      </c>
      <c r="L36" s="62">
        <f>EFEITO!$N$36*EFEITO!$AA$36</f>
        <v>54900.721777856772</v>
      </c>
      <c r="M36" s="62">
        <f>$J$36-EFEITO!$K$36*EFEITO!$Y$36</f>
        <v>0</v>
      </c>
      <c r="N36" s="62">
        <f ca="1">$K$36-EFEITO!$M$36*EFEITO!$Z$36</f>
        <v>0</v>
      </c>
      <c r="O36" s="62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41" t="s">
        <v>55</v>
      </c>
      <c r="B37" s="41" t="s">
        <v>35</v>
      </c>
      <c r="C37" s="41" t="s">
        <v>39</v>
      </c>
      <c r="D37" s="41" t="s">
        <v>40</v>
      </c>
      <c r="E37" s="41" t="s">
        <v>25</v>
      </c>
      <c r="F37" s="41" t="s">
        <v>25</v>
      </c>
      <c r="G37" s="41" t="s">
        <v>25</v>
      </c>
      <c r="H37" s="41" t="s">
        <v>38</v>
      </c>
      <c r="I37" s="61">
        <v>44774</v>
      </c>
      <c r="J37" s="62">
        <f>EFEITO!$J$37*EFEITO!$Y$37</f>
        <v>0</v>
      </c>
      <c r="K37" s="62">
        <f ca="1">EFEITO!$L$37*EFEITO!$Z$37</f>
        <v>37981.179499824742</v>
      </c>
      <c r="L37" s="62">
        <f>EFEITO!$N$37*EFEITO!$AA$37</f>
        <v>54900.721777856772</v>
      </c>
      <c r="M37" s="62">
        <f>$J$37-EFEITO!$K$37*EFEITO!$Y$37</f>
        <v>0</v>
      </c>
      <c r="N37" s="62">
        <f ca="1">$K$37-EFEITO!$M$37*EFEITO!$Z$37</f>
        <v>0</v>
      </c>
      <c r="O37" s="62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41" t="s">
        <v>21</v>
      </c>
      <c r="B38" s="41" t="s">
        <v>35</v>
      </c>
      <c r="C38" s="41" t="s">
        <v>39</v>
      </c>
      <c r="D38" s="41" t="s">
        <v>40</v>
      </c>
      <c r="E38" s="41" t="s">
        <v>25</v>
      </c>
      <c r="F38" s="41" t="s">
        <v>25</v>
      </c>
      <c r="G38" s="41" t="s">
        <v>25</v>
      </c>
      <c r="H38" s="41" t="s">
        <v>25</v>
      </c>
      <c r="I38" s="61">
        <v>44440</v>
      </c>
      <c r="J38" s="62">
        <f ca="1">EFEITO!$J$38*EFEITO!$Y$38</f>
        <v>68201.104928515226</v>
      </c>
      <c r="K38" s="62">
        <f>EFEITO!$L$38*EFEITO!$Z$38</f>
        <v>0</v>
      </c>
      <c r="L38" s="62">
        <f>EFEITO!$N$38*EFEITO!$AA$38</f>
        <v>0</v>
      </c>
      <c r="M38" s="62">
        <f ca="1">$J$38-EFEITO!$K$38*EFEITO!$Y$38</f>
        <v>0</v>
      </c>
      <c r="N38" s="62">
        <f>$K$38-EFEITO!$M$38*EFEITO!$Z$38</f>
        <v>0</v>
      </c>
      <c r="O38" s="62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41" t="s">
        <v>21</v>
      </c>
      <c r="B39" s="41" t="s">
        <v>35</v>
      </c>
      <c r="C39" s="41" t="s">
        <v>39</v>
      </c>
      <c r="D39" s="41" t="s">
        <v>40</v>
      </c>
      <c r="E39" s="41" t="s">
        <v>25</v>
      </c>
      <c r="F39" s="41" t="s">
        <v>25</v>
      </c>
      <c r="G39" s="41" t="s">
        <v>25</v>
      </c>
      <c r="H39" s="41" t="s">
        <v>25</v>
      </c>
      <c r="I39" s="61">
        <v>44470</v>
      </c>
      <c r="J39" s="62">
        <f ca="1">EFEITO!$J$39*EFEITO!$Y$39</f>
        <v>70992.521833775245</v>
      </c>
      <c r="K39" s="62">
        <f>EFEITO!$L$39*EFEITO!$Z$39</f>
        <v>0</v>
      </c>
      <c r="L39" s="62">
        <f>EFEITO!$N$39*EFEITO!$AA$39</f>
        <v>0</v>
      </c>
      <c r="M39" s="62">
        <f ca="1">$J$39-EFEITO!$K$39*EFEITO!$Y$39</f>
        <v>0</v>
      </c>
      <c r="N39" s="62">
        <f>$K$39-EFEITO!$M$39*EFEITO!$Z$39</f>
        <v>0</v>
      </c>
      <c r="O39" s="62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41" t="s">
        <v>21</v>
      </c>
      <c r="B40" s="41" t="s">
        <v>35</v>
      </c>
      <c r="C40" s="41" t="s">
        <v>39</v>
      </c>
      <c r="D40" s="41" t="s">
        <v>40</v>
      </c>
      <c r="E40" s="41" t="s">
        <v>25</v>
      </c>
      <c r="F40" s="41" t="s">
        <v>25</v>
      </c>
      <c r="G40" s="41" t="s">
        <v>25</v>
      </c>
      <c r="H40" s="41" t="s">
        <v>25</v>
      </c>
      <c r="I40" s="61">
        <v>44501</v>
      </c>
      <c r="J40" s="62">
        <f ca="1">EFEITO!$J$40*EFEITO!$Y$40</f>
        <v>70162.641132211458</v>
      </c>
      <c r="K40" s="62">
        <f>EFEITO!$L$40*EFEITO!$Z$40</f>
        <v>0</v>
      </c>
      <c r="L40" s="62">
        <f>EFEITO!$N$40*EFEITO!$AA$40</f>
        <v>0</v>
      </c>
      <c r="M40" s="62">
        <f ca="1">$J$40-EFEITO!$K$40*EFEITO!$Y$40</f>
        <v>0</v>
      </c>
      <c r="N40" s="62">
        <f>$K$40-EFEITO!$M$40*EFEITO!$Z$40</f>
        <v>0</v>
      </c>
      <c r="O40" s="62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41" t="s">
        <v>21</v>
      </c>
      <c r="B41" s="41" t="s">
        <v>35</v>
      </c>
      <c r="C41" s="41" t="s">
        <v>39</v>
      </c>
      <c r="D41" s="41" t="s">
        <v>40</v>
      </c>
      <c r="E41" s="41" t="s">
        <v>25</v>
      </c>
      <c r="F41" s="41" t="s">
        <v>25</v>
      </c>
      <c r="G41" s="41" t="s">
        <v>25</v>
      </c>
      <c r="H41" s="41" t="s">
        <v>25</v>
      </c>
      <c r="I41" s="61">
        <v>44531</v>
      </c>
      <c r="J41" s="62">
        <f ca="1">EFEITO!$J$41*EFEITO!$Y$41</f>
        <v>70841.634433490923</v>
      </c>
      <c r="K41" s="62">
        <f>EFEITO!$L$41*EFEITO!$Z$41</f>
        <v>0</v>
      </c>
      <c r="L41" s="62">
        <f>EFEITO!$N$41*EFEITO!$AA$41</f>
        <v>0</v>
      </c>
      <c r="M41" s="62">
        <f ca="1">$J$41-EFEITO!$K$41*EFEITO!$Y$41</f>
        <v>0</v>
      </c>
      <c r="N41" s="62">
        <f>$K$41-EFEITO!$M$41*EFEITO!$Z$41</f>
        <v>0</v>
      </c>
      <c r="O41" s="62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41" t="s">
        <v>21</v>
      </c>
      <c r="B42" s="41" t="s">
        <v>35</v>
      </c>
      <c r="C42" s="41" t="s">
        <v>39</v>
      </c>
      <c r="D42" s="41" t="s">
        <v>40</v>
      </c>
      <c r="E42" s="41" t="s">
        <v>25</v>
      </c>
      <c r="F42" s="41" t="s">
        <v>25</v>
      </c>
      <c r="G42" s="41" t="s">
        <v>25</v>
      </c>
      <c r="H42" s="41" t="s">
        <v>25</v>
      </c>
      <c r="I42" s="61">
        <v>44562</v>
      </c>
      <c r="J42" s="62">
        <f ca="1">EFEITO!$J$42*EFEITO!$Y$42</f>
        <v>69068.707480150086</v>
      </c>
      <c r="K42" s="62">
        <f>EFEITO!$L$42*EFEITO!$Z$42</f>
        <v>0</v>
      </c>
      <c r="L42" s="62">
        <f>EFEITO!$N$42*EFEITO!$AA$42</f>
        <v>0</v>
      </c>
      <c r="M42" s="62">
        <f ca="1">$J$42-EFEITO!$K$42*EFEITO!$Y$42</f>
        <v>0</v>
      </c>
      <c r="N42" s="62">
        <f>$K$42-EFEITO!$M$42*EFEITO!$Z$42</f>
        <v>0</v>
      </c>
      <c r="O42" s="62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41" t="s">
        <v>21</v>
      </c>
      <c r="B43" s="41" t="s">
        <v>35</v>
      </c>
      <c r="C43" s="41" t="s">
        <v>39</v>
      </c>
      <c r="D43" s="41" t="s">
        <v>40</v>
      </c>
      <c r="E43" s="41" t="s">
        <v>25</v>
      </c>
      <c r="F43" s="41" t="s">
        <v>25</v>
      </c>
      <c r="G43" s="41" t="s">
        <v>25</v>
      </c>
      <c r="H43" s="41" t="s">
        <v>25</v>
      </c>
      <c r="I43" s="61">
        <v>44593</v>
      </c>
      <c r="J43" s="62">
        <f ca="1">EFEITO!$J$43*EFEITO!$Y$43</f>
        <v>70992.521833775245</v>
      </c>
      <c r="K43" s="62">
        <f>EFEITO!$L$43*EFEITO!$Z$43</f>
        <v>0</v>
      </c>
      <c r="L43" s="62">
        <f>EFEITO!$N$43*EFEITO!$AA$43</f>
        <v>0</v>
      </c>
      <c r="M43" s="62">
        <f ca="1">$J$43-EFEITO!$K$43*EFEITO!$Y$43</f>
        <v>0</v>
      </c>
      <c r="N43" s="62">
        <f>$K$43-EFEITO!$M$43*EFEITO!$Z$43</f>
        <v>0</v>
      </c>
      <c r="O43" s="62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41" t="s">
        <v>21</v>
      </c>
      <c r="B44" s="41" t="s">
        <v>35</v>
      </c>
      <c r="C44" s="41" t="s">
        <v>39</v>
      </c>
      <c r="D44" s="41" t="s">
        <v>40</v>
      </c>
      <c r="E44" s="41" t="s">
        <v>25</v>
      </c>
      <c r="F44" s="41" t="s">
        <v>25</v>
      </c>
      <c r="G44" s="41" t="s">
        <v>25</v>
      </c>
      <c r="H44" s="41" t="s">
        <v>25</v>
      </c>
      <c r="I44" s="61">
        <v>44621</v>
      </c>
      <c r="J44" s="62">
        <f ca="1">EFEITO!$J$44*EFEITO!$Y$44</f>
        <v>70351.250382566868</v>
      </c>
      <c r="K44" s="62">
        <f>EFEITO!$L$44*EFEITO!$Z$44</f>
        <v>0</v>
      </c>
      <c r="L44" s="62">
        <f>EFEITO!$N$44*EFEITO!$AA$44</f>
        <v>0</v>
      </c>
      <c r="M44" s="62">
        <f ca="1">$J$44-EFEITO!$K$44*EFEITO!$Y$44</f>
        <v>0</v>
      </c>
      <c r="N44" s="62">
        <f>$K$44-EFEITO!$M$44*EFEITO!$Z$44</f>
        <v>0</v>
      </c>
      <c r="O44" s="62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41" t="s">
        <v>21</v>
      </c>
      <c r="B45" s="41" t="s">
        <v>35</v>
      </c>
      <c r="C45" s="41" t="s">
        <v>39</v>
      </c>
      <c r="D45" s="41" t="s">
        <v>40</v>
      </c>
      <c r="E45" s="41" t="s">
        <v>25</v>
      </c>
      <c r="F45" s="41" t="s">
        <v>25</v>
      </c>
      <c r="G45" s="41" t="s">
        <v>25</v>
      </c>
      <c r="H45" s="41" t="s">
        <v>25</v>
      </c>
      <c r="I45" s="61">
        <v>44652</v>
      </c>
      <c r="J45" s="62">
        <f ca="1">EFEITO!$J$45*EFEITO!$Y$45</f>
        <v>71105.687383988494</v>
      </c>
      <c r="K45" s="62">
        <f>EFEITO!$L$45*EFEITO!$Z$45</f>
        <v>0</v>
      </c>
      <c r="L45" s="62">
        <f>EFEITO!$N$45*EFEITO!$AA$45</f>
        <v>0</v>
      </c>
      <c r="M45" s="62">
        <f ca="1">$J$45-EFEITO!$K$45*EFEITO!$Y$45</f>
        <v>0</v>
      </c>
      <c r="N45" s="62">
        <f>$K$45-EFEITO!$M$45*EFEITO!$Z$45</f>
        <v>0</v>
      </c>
      <c r="O45" s="62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41" t="s">
        <v>21</v>
      </c>
      <c r="B46" s="41" t="s">
        <v>35</v>
      </c>
      <c r="C46" s="41" t="s">
        <v>39</v>
      </c>
      <c r="D46" s="41" t="s">
        <v>40</v>
      </c>
      <c r="E46" s="41" t="s">
        <v>25</v>
      </c>
      <c r="F46" s="41" t="s">
        <v>25</v>
      </c>
      <c r="G46" s="41" t="s">
        <v>25</v>
      </c>
      <c r="H46" s="41" t="s">
        <v>25</v>
      </c>
      <c r="I46" s="61">
        <v>44682</v>
      </c>
      <c r="J46" s="62">
        <f ca="1">EFEITO!$J$46*EFEITO!$Y$46</f>
        <v>69898.588181713887</v>
      </c>
      <c r="K46" s="62">
        <f>EFEITO!$L$46*EFEITO!$Z$46</f>
        <v>0</v>
      </c>
      <c r="L46" s="62">
        <f>EFEITO!$N$46*EFEITO!$AA$46</f>
        <v>0</v>
      </c>
      <c r="M46" s="62">
        <f ca="1">$J$46-EFEITO!$K$46*EFEITO!$Y$46</f>
        <v>0</v>
      </c>
      <c r="N46" s="62">
        <f>$K$46-EFEITO!$M$46*EFEITO!$Z$46</f>
        <v>0</v>
      </c>
      <c r="O46" s="62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41" t="s">
        <v>21</v>
      </c>
      <c r="B47" s="41" t="s">
        <v>35</v>
      </c>
      <c r="C47" s="41" t="s">
        <v>39</v>
      </c>
      <c r="D47" s="41" t="s">
        <v>40</v>
      </c>
      <c r="E47" s="41" t="s">
        <v>25</v>
      </c>
      <c r="F47" s="41" t="s">
        <v>25</v>
      </c>
      <c r="G47" s="41" t="s">
        <v>25</v>
      </c>
      <c r="H47" s="41" t="s">
        <v>25</v>
      </c>
      <c r="I47" s="61">
        <v>44713</v>
      </c>
      <c r="J47" s="62">
        <f ca="1">EFEITO!$J$47*EFEITO!$Y$47</f>
        <v>70011.753731927121</v>
      </c>
      <c r="K47" s="62">
        <f>EFEITO!$L$47*EFEITO!$Z$47</f>
        <v>0</v>
      </c>
      <c r="L47" s="62">
        <f>EFEITO!$N$47*EFEITO!$AA$47</f>
        <v>0</v>
      </c>
      <c r="M47" s="62">
        <f ca="1">$J$47-EFEITO!$K$47*EFEITO!$Y$47</f>
        <v>0</v>
      </c>
      <c r="N47" s="62">
        <f>$K$47-EFEITO!$M$47*EFEITO!$Z$47</f>
        <v>0</v>
      </c>
      <c r="O47" s="62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41" t="s">
        <v>21</v>
      </c>
      <c r="B48" s="41" t="s">
        <v>35</v>
      </c>
      <c r="C48" s="41" t="s">
        <v>39</v>
      </c>
      <c r="D48" s="41" t="s">
        <v>40</v>
      </c>
      <c r="E48" s="41" t="s">
        <v>25</v>
      </c>
      <c r="F48" s="41" t="s">
        <v>25</v>
      </c>
      <c r="G48" s="41" t="s">
        <v>25</v>
      </c>
      <c r="H48" s="41" t="s">
        <v>25</v>
      </c>
      <c r="I48" s="61">
        <v>44743</v>
      </c>
      <c r="J48" s="62">
        <f ca="1">EFEITO!$J$48*EFEITO!$Y$48</f>
        <v>72011.011785694442</v>
      </c>
      <c r="K48" s="62">
        <f>EFEITO!$L$48*EFEITO!$Z$48</f>
        <v>0</v>
      </c>
      <c r="L48" s="62">
        <f>EFEITO!$N$48*EFEITO!$AA$48</f>
        <v>0</v>
      </c>
      <c r="M48" s="62">
        <f ca="1">$J$48-EFEITO!$K$48*EFEITO!$Y$48</f>
        <v>0</v>
      </c>
      <c r="N48" s="62">
        <f>$K$48-EFEITO!$M$48*EFEITO!$Z$48</f>
        <v>0</v>
      </c>
      <c r="O48" s="62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41" t="s">
        <v>55</v>
      </c>
      <c r="B49" s="41" t="s">
        <v>35</v>
      </c>
      <c r="C49" s="41" t="s">
        <v>39</v>
      </c>
      <c r="D49" s="41" t="s">
        <v>40</v>
      </c>
      <c r="E49" s="41" t="s">
        <v>25</v>
      </c>
      <c r="F49" s="41" t="s">
        <v>25</v>
      </c>
      <c r="G49" s="41" t="s">
        <v>25</v>
      </c>
      <c r="H49" s="41" t="s">
        <v>25</v>
      </c>
      <c r="I49" s="61">
        <v>44774</v>
      </c>
      <c r="J49" s="62">
        <f ca="1">EFEITO!$J$49*EFEITO!$Y$49</f>
        <v>72011.011785694442</v>
      </c>
      <c r="K49" s="62">
        <f>EFEITO!$L$49*EFEITO!$Z$49</f>
        <v>0</v>
      </c>
      <c r="L49" s="62">
        <f>EFEITO!$N$49*EFEITO!$AA$49</f>
        <v>0</v>
      </c>
      <c r="M49" s="62">
        <f ca="1">$J$49-EFEITO!$K$49*EFEITO!$Y$49</f>
        <v>0</v>
      </c>
      <c r="N49" s="62">
        <f>$K$49-EFEITO!$M$49*EFEITO!$Z$49</f>
        <v>0</v>
      </c>
      <c r="O49" s="62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41" t="s">
        <v>21</v>
      </c>
      <c r="B50" s="41" t="s">
        <v>35</v>
      </c>
      <c r="C50" s="41" t="s">
        <v>39</v>
      </c>
      <c r="D50" s="41" t="s">
        <v>40</v>
      </c>
      <c r="E50" s="41" t="s">
        <v>25</v>
      </c>
      <c r="F50" s="41" t="s">
        <v>25</v>
      </c>
      <c r="G50" s="41" t="s">
        <v>25</v>
      </c>
      <c r="H50" s="41" t="s">
        <v>37</v>
      </c>
      <c r="I50" s="61">
        <v>44440</v>
      </c>
      <c r="J50" s="62">
        <f>EFEITO!$J$50*EFEITO!$Y$50</f>
        <v>0</v>
      </c>
      <c r="K50" s="62">
        <f ca="1">EFEITO!$L$50*EFEITO!$Z$50</f>
        <v>17790.500397212974</v>
      </c>
      <c r="L50" s="62">
        <f>EFEITO!$N$50*EFEITO!$AA$50</f>
        <v>925.34525659693088</v>
      </c>
      <c r="M50" s="62">
        <f>$J$50-EFEITO!$K$50*EFEITO!$Y$50</f>
        <v>0</v>
      </c>
      <c r="N50" s="62">
        <f ca="1">$K$50-EFEITO!$M$50*EFEITO!$Z$50</f>
        <v>0</v>
      </c>
      <c r="O50" s="62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41" t="s">
        <v>21</v>
      </c>
      <c r="B51" s="41" t="s">
        <v>35</v>
      </c>
      <c r="C51" s="41" t="s">
        <v>39</v>
      </c>
      <c r="D51" s="41" t="s">
        <v>40</v>
      </c>
      <c r="E51" s="41" t="s">
        <v>25</v>
      </c>
      <c r="F51" s="41" t="s">
        <v>25</v>
      </c>
      <c r="G51" s="41" t="s">
        <v>25</v>
      </c>
      <c r="H51" s="41" t="s">
        <v>37</v>
      </c>
      <c r="I51" s="61">
        <v>44470</v>
      </c>
      <c r="J51" s="62">
        <f>EFEITO!$J$51*EFEITO!$Y$51</f>
        <v>0</v>
      </c>
      <c r="K51" s="62">
        <f ca="1">EFEITO!$L$51*EFEITO!$Z$51</f>
        <v>16970.9763865928</v>
      </c>
      <c r="L51" s="62">
        <f>EFEITO!$N$51*EFEITO!$AA$51</f>
        <v>882.71898757903011</v>
      </c>
      <c r="M51" s="62">
        <f>$J$51-EFEITO!$K$51*EFEITO!$Y$51</f>
        <v>0</v>
      </c>
      <c r="N51" s="62">
        <f ca="1">$K$51-EFEITO!$M$51*EFEITO!$Z$51</f>
        <v>0</v>
      </c>
      <c r="O51" s="62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41" t="s">
        <v>21</v>
      </c>
      <c r="B52" s="41" t="s">
        <v>35</v>
      </c>
      <c r="C52" s="41" t="s">
        <v>39</v>
      </c>
      <c r="D52" s="41" t="s">
        <v>40</v>
      </c>
      <c r="E52" s="41" t="s">
        <v>25</v>
      </c>
      <c r="F52" s="41" t="s">
        <v>25</v>
      </c>
      <c r="G52" s="41" t="s">
        <v>25</v>
      </c>
      <c r="H52" s="41" t="s">
        <v>37</v>
      </c>
      <c r="I52" s="61">
        <v>44501</v>
      </c>
      <c r="J52" s="62">
        <f>EFEITO!$J$52*EFEITO!$Y$52</f>
        <v>0</v>
      </c>
      <c r="K52" s="62">
        <f ca="1">EFEITO!$L$52*EFEITO!$Z$52</f>
        <v>17388.618430466544</v>
      </c>
      <c r="L52" s="62">
        <f>EFEITO!$N$52*EFEITO!$AA$52</f>
        <v>904.44199005930648</v>
      </c>
      <c r="M52" s="62">
        <f>$J$52-EFEITO!$K$52*EFEITO!$Y$52</f>
        <v>0</v>
      </c>
      <c r="N52" s="62">
        <f ca="1">$K$52-EFEITO!$M$52*EFEITO!$Z$52</f>
        <v>0</v>
      </c>
      <c r="O52" s="62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41" t="s">
        <v>21</v>
      </c>
      <c r="B53" s="41" t="s">
        <v>35</v>
      </c>
      <c r="C53" s="41" t="s">
        <v>39</v>
      </c>
      <c r="D53" s="41" t="s">
        <v>40</v>
      </c>
      <c r="E53" s="41" t="s">
        <v>25</v>
      </c>
      <c r="F53" s="41" t="s">
        <v>25</v>
      </c>
      <c r="G53" s="41" t="s">
        <v>25</v>
      </c>
      <c r="H53" s="41" t="s">
        <v>37</v>
      </c>
      <c r="I53" s="61">
        <v>44531</v>
      </c>
      <c r="J53" s="62">
        <f>EFEITO!$J$53*EFEITO!$Y$53</f>
        <v>0</v>
      </c>
      <c r="K53" s="62">
        <f ca="1">EFEITO!$L$53*EFEITO!$Z$53</f>
        <v>19799.910230945137</v>
      </c>
      <c r="L53" s="62">
        <f>EFEITO!$N$53*EFEITO!$AA$53</f>
        <v>1029.8615892850532</v>
      </c>
      <c r="M53" s="62">
        <f>$J$53-EFEITO!$K$53*EFEITO!$Y$53</f>
        <v>0</v>
      </c>
      <c r="N53" s="62">
        <f ca="1">$K$53-EFEITO!$M$53*EFEITO!$Z$53</f>
        <v>0</v>
      </c>
      <c r="O53" s="62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41" t="s">
        <v>21</v>
      </c>
      <c r="B54" s="41" t="s">
        <v>35</v>
      </c>
      <c r="C54" s="41" t="s">
        <v>39</v>
      </c>
      <c r="D54" s="41" t="s">
        <v>40</v>
      </c>
      <c r="E54" s="41" t="s">
        <v>25</v>
      </c>
      <c r="F54" s="41" t="s">
        <v>25</v>
      </c>
      <c r="G54" s="41" t="s">
        <v>25</v>
      </c>
      <c r="H54" s="41" t="s">
        <v>37</v>
      </c>
      <c r="I54" s="61">
        <v>44562</v>
      </c>
      <c r="J54" s="62">
        <f>EFEITO!$J$54*EFEITO!$Y$54</f>
        <v>0</v>
      </c>
      <c r="K54" s="62">
        <f ca="1">EFEITO!$L$54*EFEITO!$Z$54</f>
        <v>23939.557156385512</v>
      </c>
      <c r="L54" s="62">
        <f>EFEITO!$N$54*EFEITO!$AA$54</f>
        <v>1245.1788968882961</v>
      </c>
      <c r="M54" s="62">
        <f>$J$54-EFEITO!$K$54*EFEITO!$Y$54</f>
        <v>0</v>
      </c>
      <c r="N54" s="62">
        <f ca="1">$K$54-EFEITO!$M$54*EFEITO!$Z$54</f>
        <v>0</v>
      </c>
      <c r="O54" s="62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41" t="s">
        <v>21</v>
      </c>
      <c r="B55" s="41" t="s">
        <v>35</v>
      </c>
      <c r="C55" s="41" t="s">
        <v>39</v>
      </c>
      <c r="D55" s="41" t="s">
        <v>40</v>
      </c>
      <c r="E55" s="41" t="s">
        <v>25</v>
      </c>
      <c r="F55" s="41" t="s">
        <v>25</v>
      </c>
      <c r="G55" s="41" t="s">
        <v>25</v>
      </c>
      <c r="H55" s="41" t="s">
        <v>37</v>
      </c>
      <c r="I55" s="61">
        <v>44593</v>
      </c>
      <c r="J55" s="62">
        <f>EFEITO!$J$55*EFEITO!$Y$55</f>
        <v>0</v>
      </c>
      <c r="K55" s="62">
        <f ca="1">EFEITO!$L$55*EFEITO!$Z$55</f>
        <v>22032.58782398087</v>
      </c>
      <c r="L55" s="62">
        <f>EFEITO!$N$55*EFEITO!$AA$55</f>
        <v>1145.9908478274112</v>
      </c>
      <c r="M55" s="62">
        <f>$J$55-EFEITO!$K$55*EFEITO!$Y$55</f>
        <v>0</v>
      </c>
      <c r="N55" s="62">
        <f ca="1">$K$55-EFEITO!$M$55*EFEITO!$Z$55</f>
        <v>0</v>
      </c>
      <c r="O55" s="62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41" t="s">
        <v>21</v>
      </c>
      <c r="B56" s="41" t="s">
        <v>35</v>
      </c>
      <c r="C56" s="41" t="s">
        <v>39</v>
      </c>
      <c r="D56" s="41" t="s">
        <v>40</v>
      </c>
      <c r="E56" s="41" t="s">
        <v>25</v>
      </c>
      <c r="F56" s="41" t="s">
        <v>25</v>
      </c>
      <c r="G56" s="41" t="s">
        <v>25</v>
      </c>
      <c r="H56" s="41" t="s">
        <v>37</v>
      </c>
      <c r="I56" s="61">
        <v>44621</v>
      </c>
      <c r="J56" s="62">
        <f>EFEITO!$J$56*EFEITO!$Y$56</f>
        <v>0</v>
      </c>
      <c r="K56" s="62">
        <f ca="1">EFEITO!$L$56*EFEITO!$Z$56</f>
        <v>19878.710616581691</v>
      </c>
      <c r="L56" s="62">
        <f>EFEITO!$N$56*EFEITO!$AA$56</f>
        <v>1033.9602689983128</v>
      </c>
      <c r="M56" s="62">
        <f>$J$56-EFEITO!$K$56*EFEITO!$Y$56</f>
        <v>0</v>
      </c>
      <c r="N56" s="62">
        <f ca="1">$K$56-EFEITO!$M$56*EFEITO!$Z$56</f>
        <v>0</v>
      </c>
      <c r="O56" s="62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41" t="s">
        <v>21</v>
      </c>
      <c r="B57" s="41" t="s">
        <v>35</v>
      </c>
      <c r="C57" s="41" t="s">
        <v>39</v>
      </c>
      <c r="D57" s="41" t="s">
        <v>40</v>
      </c>
      <c r="E57" s="41" t="s">
        <v>25</v>
      </c>
      <c r="F57" s="41" t="s">
        <v>25</v>
      </c>
      <c r="G57" s="41" t="s">
        <v>25</v>
      </c>
      <c r="H57" s="41" t="s">
        <v>37</v>
      </c>
      <c r="I57" s="61">
        <v>44652</v>
      </c>
      <c r="J57" s="62">
        <f>EFEITO!$J$57*EFEITO!$Y$57</f>
        <v>0</v>
      </c>
      <c r="K57" s="62">
        <f ca="1">EFEITO!$L$57*EFEITO!$Z$57</f>
        <v>21462.598367876453</v>
      </c>
      <c r="L57" s="62">
        <f>EFEITO!$N$57*EFEITO!$AA$57</f>
        <v>1116.3437312348328</v>
      </c>
      <c r="M57" s="62">
        <f>$J$57-EFEITO!$K$57*EFEITO!$Y$57</f>
        <v>0</v>
      </c>
      <c r="N57" s="62">
        <f ca="1">$K$57-EFEITO!$M$57*EFEITO!$Z$57</f>
        <v>0</v>
      </c>
      <c r="O57" s="62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41" t="s">
        <v>21</v>
      </c>
      <c r="B58" s="41" t="s">
        <v>35</v>
      </c>
      <c r="C58" s="41" t="s">
        <v>39</v>
      </c>
      <c r="D58" s="41" t="s">
        <v>40</v>
      </c>
      <c r="E58" s="41" t="s">
        <v>25</v>
      </c>
      <c r="F58" s="41" t="s">
        <v>25</v>
      </c>
      <c r="G58" s="41" t="s">
        <v>25</v>
      </c>
      <c r="H58" s="41" t="s">
        <v>37</v>
      </c>
      <c r="I58" s="61">
        <v>44682</v>
      </c>
      <c r="J58" s="62">
        <f>EFEITO!$J$58*EFEITO!$Y$58</f>
        <v>0</v>
      </c>
      <c r="K58" s="62">
        <f ca="1">EFEITO!$L$58*EFEITO!$Z$58</f>
        <v>17385.991750945326</v>
      </c>
      <c r="L58" s="62">
        <f>EFEITO!$N$58*EFEITO!$AA$58</f>
        <v>904.30536740219782</v>
      </c>
      <c r="M58" s="62">
        <f>$J$58-EFEITO!$K$58*EFEITO!$Y$58</f>
        <v>0</v>
      </c>
      <c r="N58" s="62">
        <f ca="1">$K$58-EFEITO!$M$58*EFEITO!$Z$58</f>
        <v>0</v>
      </c>
      <c r="O58" s="62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41" t="s">
        <v>21</v>
      </c>
      <c r="B59" s="41" t="s">
        <v>35</v>
      </c>
      <c r="C59" s="41" t="s">
        <v>39</v>
      </c>
      <c r="D59" s="41" t="s">
        <v>40</v>
      </c>
      <c r="E59" s="41" t="s">
        <v>25</v>
      </c>
      <c r="F59" s="41" t="s">
        <v>25</v>
      </c>
      <c r="G59" s="41" t="s">
        <v>25</v>
      </c>
      <c r="H59" s="41" t="s">
        <v>37</v>
      </c>
      <c r="I59" s="61">
        <v>44713</v>
      </c>
      <c r="J59" s="62">
        <f>EFEITO!$J$59*EFEITO!$Y$59</f>
        <v>0</v>
      </c>
      <c r="K59" s="62">
        <f ca="1">EFEITO!$L$59*EFEITO!$Z$59</f>
        <v>18026.901554122644</v>
      </c>
      <c r="L59" s="62">
        <f>EFEITO!$N$59*EFEITO!$AA$59</f>
        <v>937.64129573671005</v>
      </c>
      <c r="M59" s="62">
        <f>$J$59-EFEITO!$K$59*EFEITO!$Y$59</f>
        <v>0</v>
      </c>
      <c r="N59" s="62">
        <f ca="1">$K$59-EFEITO!$M$59*EFEITO!$Z$59</f>
        <v>0</v>
      </c>
      <c r="O59" s="62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41" t="s">
        <v>21</v>
      </c>
      <c r="B60" s="41" t="s">
        <v>35</v>
      </c>
      <c r="C60" s="41" t="s">
        <v>39</v>
      </c>
      <c r="D60" s="41" t="s">
        <v>40</v>
      </c>
      <c r="E60" s="41" t="s">
        <v>25</v>
      </c>
      <c r="F60" s="41" t="s">
        <v>25</v>
      </c>
      <c r="G60" s="41" t="s">
        <v>25</v>
      </c>
      <c r="H60" s="41" t="s">
        <v>37</v>
      </c>
      <c r="I60" s="61">
        <v>44743</v>
      </c>
      <c r="J60" s="62">
        <f>EFEITO!$J$60*EFEITO!$Y$60</f>
        <v>0</v>
      </c>
      <c r="K60" s="62">
        <f ca="1">EFEITO!$L$60*EFEITO!$Z$60</f>
        <v>18239.662595341342</v>
      </c>
      <c r="L60" s="62">
        <f>EFEITO!$N$60*EFEITO!$AA$60</f>
        <v>948.70773096251116</v>
      </c>
      <c r="M60" s="62">
        <f>$J$60-EFEITO!$K$60*EFEITO!$Y$60</f>
        <v>0</v>
      </c>
      <c r="N60" s="62">
        <f ca="1">$K$60-EFEITO!$M$60*EFEITO!$Z$60</f>
        <v>0</v>
      </c>
      <c r="O60" s="62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41" t="s">
        <v>55</v>
      </c>
      <c r="B61" s="41" t="s">
        <v>35</v>
      </c>
      <c r="C61" s="41" t="s">
        <v>39</v>
      </c>
      <c r="D61" s="41" t="s">
        <v>40</v>
      </c>
      <c r="E61" s="41" t="s">
        <v>25</v>
      </c>
      <c r="F61" s="41" t="s">
        <v>25</v>
      </c>
      <c r="G61" s="41" t="s">
        <v>25</v>
      </c>
      <c r="H61" s="41" t="s">
        <v>37</v>
      </c>
      <c r="I61" s="61">
        <v>44774</v>
      </c>
      <c r="J61" s="62">
        <f>EFEITO!$J$61*EFEITO!$Y$61</f>
        <v>0</v>
      </c>
      <c r="K61" s="62">
        <f ca="1">EFEITO!$L$61*EFEITO!$Z$61</f>
        <v>18239.662595341342</v>
      </c>
      <c r="L61" s="62">
        <f>EFEITO!$N$61*EFEITO!$AA$61</f>
        <v>948.70773096251116</v>
      </c>
      <c r="M61" s="62">
        <f>$J$61-EFEITO!$K$61*EFEITO!$Y$61</f>
        <v>0</v>
      </c>
      <c r="N61" s="62">
        <f ca="1">$K$61-EFEITO!$M$61*EFEITO!$Z$61</f>
        <v>0</v>
      </c>
      <c r="O61" s="62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41" t="s">
        <v>21</v>
      </c>
      <c r="B62" s="41" t="s">
        <v>35</v>
      </c>
      <c r="C62" s="41" t="s">
        <v>39</v>
      </c>
      <c r="D62" s="41" t="s">
        <v>34</v>
      </c>
      <c r="E62" s="41" t="s">
        <v>25</v>
      </c>
      <c r="F62" s="41" t="s">
        <v>25</v>
      </c>
      <c r="G62" s="41" t="s">
        <v>25</v>
      </c>
      <c r="H62" s="41" t="s">
        <v>38</v>
      </c>
      <c r="I62" s="61">
        <v>44440</v>
      </c>
      <c r="J62" s="62">
        <f>EFEITO!$J$62*EFEITO!$Y$62</f>
        <v>0</v>
      </c>
      <c r="K62" s="62">
        <f ca="1">EFEITO!$L$62*EFEITO!$Z$62</f>
        <v>530837.74423802446</v>
      </c>
      <c r="L62" s="62">
        <f>EFEITO!$N$62*EFEITO!$AA$62</f>
        <v>767310.96004354872</v>
      </c>
      <c r="M62" s="62">
        <f>$J$62-EFEITO!$K$62*EFEITO!$Y$62</f>
        <v>0</v>
      </c>
      <c r="N62" s="62">
        <f ca="1">$K$62-EFEITO!$M$62*EFEITO!$Z$62</f>
        <v>0</v>
      </c>
      <c r="O62" s="62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41" t="s">
        <v>28</v>
      </c>
      <c r="B63" s="41" t="s">
        <v>35</v>
      </c>
      <c r="C63" s="41" t="s">
        <v>39</v>
      </c>
      <c r="D63" s="41" t="s">
        <v>34</v>
      </c>
      <c r="E63" s="41" t="s">
        <v>25</v>
      </c>
      <c r="F63" s="41" t="s">
        <v>25</v>
      </c>
      <c r="G63" s="41" t="s">
        <v>25</v>
      </c>
      <c r="H63" s="41" t="s">
        <v>38</v>
      </c>
      <c r="I63" s="61">
        <v>44440</v>
      </c>
      <c r="J63" s="62">
        <f>EFEITO!$J$63*EFEITO!$Y$63</f>
        <v>0</v>
      </c>
      <c r="K63" s="62">
        <f ca="1">EFEITO!$L$63*EFEITO!$Z$63</f>
        <v>721.54808183729449</v>
      </c>
      <c r="L63" s="62">
        <f>EFEITO!$N$63*EFEITO!$AA$63</f>
        <v>1042.9773643674844</v>
      </c>
      <c r="M63" s="62">
        <f>$J$63-EFEITO!$K$63*EFEITO!$Y$63</f>
        <v>0</v>
      </c>
      <c r="N63" s="62">
        <f ca="1">$K$63-EFEITO!$M$63*EFEITO!$Z$63</f>
        <v>0</v>
      </c>
      <c r="O63" s="62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41" t="s">
        <v>21</v>
      </c>
      <c r="B64" s="41" t="s">
        <v>35</v>
      </c>
      <c r="C64" s="41" t="s">
        <v>39</v>
      </c>
      <c r="D64" s="41" t="s">
        <v>34</v>
      </c>
      <c r="E64" s="41" t="s">
        <v>25</v>
      </c>
      <c r="F64" s="41" t="s">
        <v>25</v>
      </c>
      <c r="G64" s="41" t="s">
        <v>25</v>
      </c>
      <c r="H64" s="41" t="s">
        <v>38</v>
      </c>
      <c r="I64" s="61">
        <v>44470</v>
      </c>
      <c r="J64" s="62">
        <f>EFEITO!$J$64*EFEITO!$Y$64</f>
        <v>0</v>
      </c>
      <c r="K64" s="62">
        <f ca="1">EFEITO!$L$64*EFEITO!$Z$64</f>
        <v>531098.99114635529</v>
      </c>
      <c r="L64" s="62">
        <f>EFEITO!$N$64*EFEITO!$AA$64</f>
        <v>767688.58506779687</v>
      </c>
      <c r="M64" s="62">
        <f>$J$64-EFEITO!$K$64*EFEITO!$Y$64</f>
        <v>0</v>
      </c>
      <c r="N64" s="62">
        <f ca="1">$K$64-EFEITO!$M$64*EFEITO!$Z$64</f>
        <v>0</v>
      </c>
      <c r="O64" s="62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41" t="s">
        <v>28</v>
      </c>
      <c r="B65" s="41" t="s">
        <v>35</v>
      </c>
      <c r="C65" s="41" t="s">
        <v>39</v>
      </c>
      <c r="D65" s="41" t="s">
        <v>34</v>
      </c>
      <c r="E65" s="41" t="s">
        <v>25</v>
      </c>
      <c r="F65" s="41" t="s">
        <v>25</v>
      </c>
      <c r="G65" s="41" t="s">
        <v>25</v>
      </c>
      <c r="H65" s="41" t="s">
        <v>38</v>
      </c>
      <c r="I65" s="61">
        <v>44470</v>
      </c>
      <c r="J65" s="62">
        <f>EFEITO!$J$65*EFEITO!$Y$65</f>
        <v>0</v>
      </c>
      <c r="K65" s="62">
        <f ca="1">EFEITO!$L$65*EFEITO!$Z$65</f>
        <v>686.19846399512153</v>
      </c>
      <c r="L65" s="62">
        <f>EFEITO!$N$65*EFEITO!$AA$65</f>
        <v>991.88049060884669</v>
      </c>
      <c r="M65" s="62">
        <f>$J$65-EFEITO!$K$65*EFEITO!$Y$65</f>
        <v>0</v>
      </c>
      <c r="N65" s="62">
        <f ca="1">$K$65-EFEITO!$M$65*EFEITO!$Z$65</f>
        <v>0</v>
      </c>
      <c r="O65" s="62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41" t="s">
        <v>21</v>
      </c>
      <c r="B66" s="41" t="s">
        <v>35</v>
      </c>
      <c r="C66" s="41" t="s">
        <v>39</v>
      </c>
      <c r="D66" s="41" t="s">
        <v>34</v>
      </c>
      <c r="E66" s="41" t="s">
        <v>25</v>
      </c>
      <c r="F66" s="41" t="s">
        <v>25</v>
      </c>
      <c r="G66" s="41" t="s">
        <v>25</v>
      </c>
      <c r="H66" s="41" t="s">
        <v>38</v>
      </c>
      <c r="I66" s="61">
        <v>44501</v>
      </c>
      <c r="J66" s="62">
        <f>EFEITO!$J$66*EFEITO!$Y$66</f>
        <v>0</v>
      </c>
      <c r="K66" s="62">
        <f ca="1">EFEITO!$L$66*EFEITO!$Z$66</f>
        <v>531768.08190759795</v>
      </c>
      <c r="L66" s="62">
        <f>EFEITO!$N$66*EFEITO!$AA$66</f>
        <v>768655.73685746919</v>
      </c>
      <c r="M66" s="62">
        <f>$J$66-EFEITO!$K$66*EFEITO!$Y$66</f>
        <v>0</v>
      </c>
      <c r="N66" s="62">
        <f ca="1">$K$66-EFEITO!$M$66*EFEITO!$Z$66</f>
        <v>0</v>
      </c>
      <c r="O66" s="62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41" t="s">
        <v>28</v>
      </c>
      <c r="B67" s="41" t="s">
        <v>35</v>
      </c>
      <c r="C67" s="41" t="s">
        <v>39</v>
      </c>
      <c r="D67" s="41" t="s">
        <v>34</v>
      </c>
      <c r="E67" s="41" t="s">
        <v>25</v>
      </c>
      <c r="F67" s="41" t="s">
        <v>25</v>
      </c>
      <c r="G67" s="41" t="s">
        <v>25</v>
      </c>
      <c r="H67" s="41" t="s">
        <v>38</v>
      </c>
      <c r="I67" s="61">
        <v>44501</v>
      </c>
      <c r="J67" s="62">
        <f>EFEITO!$J$67*EFEITO!$Y$67</f>
        <v>0</v>
      </c>
      <c r="K67" s="62">
        <f ca="1">EFEITO!$L$67*EFEITO!$Z$67</f>
        <v>452.0781340617998</v>
      </c>
      <c r="L67" s="62">
        <f>EFEITO!$N$67*EFEITO!$AA$67</f>
        <v>653.4661689507044</v>
      </c>
      <c r="M67" s="62">
        <f>$J$67-EFEITO!$K$67*EFEITO!$Y$67</f>
        <v>0</v>
      </c>
      <c r="N67" s="62">
        <f ca="1">$K$67-EFEITO!$M$67*EFEITO!$Z$67</f>
        <v>0</v>
      </c>
      <c r="O67" s="62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41" t="s">
        <v>21</v>
      </c>
      <c r="B68" s="41" t="s">
        <v>35</v>
      </c>
      <c r="C68" s="41" t="s">
        <v>39</v>
      </c>
      <c r="D68" s="41" t="s">
        <v>34</v>
      </c>
      <c r="E68" s="41" t="s">
        <v>25</v>
      </c>
      <c r="F68" s="41" t="s">
        <v>25</v>
      </c>
      <c r="G68" s="41" t="s">
        <v>25</v>
      </c>
      <c r="H68" s="41" t="s">
        <v>38</v>
      </c>
      <c r="I68" s="61">
        <v>44531</v>
      </c>
      <c r="J68" s="62">
        <f>EFEITO!$J$68*EFEITO!$Y$68</f>
        <v>0</v>
      </c>
      <c r="K68" s="62">
        <f ca="1">EFEITO!$L$68*EFEITO!$Z$68</f>
        <v>526060.25283842429</v>
      </c>
      <c r="L68" s="62">
        <f>EFEITO!$N$68*EFEITO!$AA$68</f>
        <v>760405.23121733451</v>
      </c>
      <c r="M68" s="62">
        <f>$J$68-EFEITO!$K$68*EFEITO!$Y$68</f>
        <v>0</v>
      </c>
      <c r="N68" s="62">
        <f ca="1">$K$68-EFEITO!$M$68*EFEITO!$Z$68</f>
        <v>0</v>
      </c>
      <c r="O68" s="62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41" t="s">
        <v>21</v>
      </c>
      <c r="B69" s="41" t="s">
        <v>35</v>
      </c>
      <c r="C69" s="41" t="s">
        <v>39</v>
      </c>
      <c r="D69" s="41" t="s">
        <v>34</v>
      </c>
      <c r="E69" s="41" t="s">
        <v>25</v>
      </c>
      <c r="F69" s="41" t="s">
        <v>25</v>
      </c>
      <c r="G69" s="41" t="s">
        <v>25</v>
      </c>
      <c r="H69" s="41" t="s">
        <v>38</v>
      </c>
      <c r="I69" s="61">
        <v>44562</v>
      </c>
      <c r="J69" s="62">
        <f>EFEITO!$J$69*EFEITO!$Y$69</f>
        <v>0</v>
      </c>
      <c r="K69" s="62">
        <f ca="1">EFEITO!$L$69*EFEITO!$Z$69</f>
        <v>468744.43917974189</v>
      </c>
      <c r="L69" s="62">
        <f>EFEITO!$N$69*EFEITO!$AA$69</f>
        <v>677556.84207867377</v>
      </c>
      <c r="M69" s="62">
        <f>$J$69-EFEITO!$K$69*EFEITO!$Y$69</f>
        <v>0</v>
      </c>
      <c r="N69" s="62">
        <f ca="1">$K$69-EFEITO!$M$69*EFEITO!$Z$69</f>
        <v>0</v>
      </c>
      <c r="O69" s="62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41" t="s">
        <v>21</v>
      </c>
      <c r="B70" s="41" t="s">
        <v>35</v>
      </c>
      <c r="C70" s="41" t="s">
        <v>39</v>
      </c>
      <c r="D70" s="41" t="s">
        <v>34</v>
      </c>
      <c r="E70" s="41" t="s">
        <v>25</v>
      </c>
      <c r="F70" s="41" t="s">
        <v>25</v>
      </c>
      <c r="G70" s="41" t="s">
        <v>25</v>
      </c>
      <c r="H70" s="41" t="s">
        <v>38</v>
      </c>
      <c r="I70" s="61">
        <v>44593</v>
      </c>
      <c r="J70" s="62">
        <f>EFEITO!$J$70*EFEITO!$Y$70</f>
        <v>0</v>
      </c>
      <c r="K70" s="62">
        <f ca="1">EFEITO!$L$70*EFEITO!$Z$70</f>
        <v>481310.66121646576</v>
      </c>
      <c r="L70" s="62">
        <f>EFEITO!$N$70*EFEITO!$AA$70</f>
        <v>695720.96096392674</v>
      </c>
      <c r="M70" s="62">
        <f>$J$70-EFEITO!$K$70*EFEITO!$Y$70</f>
        <v>0</v>
      </c>
      <c r="N70" s="62">
        <f ca="1">$K$70-EFEITO!$M$70*EFEITO!$Z$70</f>
        <v>0</v>
      </c>
      <c r="O70" s="62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41" t="s">
        <v>21</v>
      </c>
      <c r="B71" s="41" t="s">
        <v>35</v>
      </c>
      <c r="C71" s="41" t="s">
        <v>39</v>
      </c>
      <c r="D71" s="41" t="s">
        <v>34</v>
      </c>
      <c r="E71" s="41" t="s">
        <v>25</v>
      </c>
      <c r="F71" s="41" t="s">
        <v>25</v>
      </c>
      <c r="G71" s="41" t="s">
        <v>25</v>
      </c>
      <c r="H71" s="41" t="s">
        <v>38</v>
      </c>
      <c r="I71" s="61">
        <v>44621</v>
      </c>
      <c r="J71" s="62">
        <f>EFEITO!$J$71*EFEITO!$Y$71</f>
        <v>0</v>
      </c>
      <c r="K71" s="62">
        <f ca="1">EFEITO!$L$71*EFEITO!$Z$71</f>
        <v>498694.45015537029</v>
      </c>
      <c r="L71" s="62">
        <f>EFEITO!$N$71*EFEITO!$AA$71</f>
        <v>720848.73668200802</v>
      </c>
      <c r="M71" s="62">
        <f>$J$71-EFEITO!$K$71*EFEITO!$Y$71</f>
        <v>0</v>
      </c>
      <c r="N71" s="62">
        <f ca="1">$K$71-EFEITO!$M$71*EFEITO!$Z$71</f>
        <v>0</v>
      </c>
      <c r="O71" s="62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41" t="s">
        <v>28</v>
      </c>
      <c r="B72" s="41" t="s">
        <v>35</v>
      </c>
      <c r="C72" s="41" t="s">
        <v>39</v>
      </c>
      <c r="D72" s="41" t="s">
        <v>34</v>
      </c>
      <c r="E72" s="41" t="s">
        <v>25</v>
      </c>
      <c r="F72" s="41" t="s">
        <v>25</v>
      </c>
      <c r="G72" s="41" t="s">
        <v>25</v>
      </c>
      <c r="H72" s="41" t="s">
        <v>38</v>
      </c>
      <c r="I72" s="61">
        <v>44621</v>
      </c>
      <c r="J72" s="62">
        <f>EFEITO!$J$72*EFEITO!$Y$72</f>
        <v>0</v>
      </c>
      <c r="K72" s="62">
        <f ca="1">EFEITO!$L$72*EFEITO!$Z$72</f>
        <v>213.04288400068924</v>
      </c>
      <c r="L72" s="62">
        <f>EFEITO!$N$72*EFEITO!$AA$72</f>
        <v>307.94746912291191</v>
      </c>
      <c r="M72" s="62">
        <f>$J$72-EFEITO!$K$72*EFEITO!$Y$72</f>
        <v>0</v>
      </c>
      <c r="N72" s="62">
        <f ca="1">$K$72-EFEITO!$M$72*EFEITO!$Z$72</f>
        <v>0</v>
      </c>
      <c r="O72" s="62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41" t="s">
        <v>21</v>
      </c>
      <c r="B73" s="41" t="s">
        <v>35</v>
      </c>
      <c r="C73" s="41" t="s">
        <v>39</v>
      </c>
      <c r="D73" s="41" t="s">
        <v>34</v>
      </c>
      <c r="E73" s="41" t="s">
        <v>25</v>
      </c>
      <c r="F73" s="41" t="s">
        <v>25</v>
      </c>
      <c r="G73" s="41" t="s">
        <v>25</v>
      </c>
      <c r="H73" s="41" t="s">
        <v>38</v>
      </c>
      <c r="I73" s="61">
        <v>44652</v>
      </c>
      <c r="J73" s="62">
        <f>EFEITO!$J$73*EFEITO!$Y$73</f>
        <v>0</v>
      </c>
      <c r="K73" s="62">
        <f ca="1">EFEITO!$L$73*EFEITO!$Z$73</f>
        <v>562373.38406103326</v>
      </c>
      <c r="L73" s="62">
        <f>EFEITO!$N$73*EFEITO!$AA$73</f>
        <v>812894.83634253766</v>
      </c>
      <c r="M73" s="62">
        <f>$J$73-EFEITO!$K$73*EFEITO!$Y$73</f>
        <v>0</v>
      </c>
      <c r="N73" s="62">
        <f ca="1">$K$73-EFEITO!$M$73*EFEITO!$Z$73</f>
        <v>0</v>
      </c>
      <c r="O73" s="62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41" t="s">
        <v>28</v>
      </c>
      <c r="B74" s="41" t="s">
        <v>35</v>
      </c>
      <c r="C74" s="41" t="s">
        <v>39</v>
      </c>
      <c r="D74" s="41" t="s">
        <v>34</v>
      </c>
      <c r="E74" s="41" t="s">
        <v>25</v>
      </c>
      <c r="F74" s="41" t="s">
        <v>25</v>
      </c>
      <c r="G74" s="41" t="s">
        <v>25</v>
      </c>
      <c r="H74" s="41" t="s">
        <v>38</v>
      </c>
      <c r="I74" s="61">
        <v>44652</v>
      </c>
      <c r="J74" s="62">
        <f>EFEITO!$J$74*EFEITO!$Y$74</f>
        <v>0</v>
      </c>
      <c r="K74" s="62">
        <f ca="1">EFEITO!$L$74*EFEITO!$Z$74</f>
        <v>233.64774145949593</v>
      </c>
      <c r="L74" s="62">
        <f>EFEITO!$N$74*EFEITO!$AA$74</f>
        <v>337.73120837259904</v>
      </c>
      <c r="M74" s="62">
        <f>$J$74-EFEITO!$K$74*EFEITO!$Y$74</f>
        <v>0</v>
      </c>
      <c r="N74" s="62">
        <f ca="1">$K$74-EFEITO!$M$74*EFEITO!$Z$74</f>
        <v>0</v>
      </c>
      <c r="O74" s="62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41" t="s">
        <v>21</v>
      </c>
      <c r="B75" s="41" t="s">
        <v>35</v>
      </c>
      <c r="C75" s="41" t="s">
        <v>39</v>
      </c>
      <c r="D75" s="41" t="s">
        <v>34</v>
      </c>
      <c r="E75" s="41" t="s">
        <v>25</v>
      </c>
      <c r="F75" s="41" t="s">
        <v>25</v>
      </c>
      <c r="G75" s="41" t="s">
        <v>25</v>
      </c>
      <c r="H75" s="41" t="s">
        <v>38</v>
      </c>
      <c r="I75" s="61">
        <v>44682</v>
      </c>
      <c r="J75" s="62">
        <f>EFEITO!$J$75*EFEITO!$Y$75</f>
        <v>0</v>
      </c>
      <c r="K75" s="62">
        <f ca="1">EFEITO!$L$75*EFEITO!$Z$75</f>
        <v>558711.76856583066</v>
      </c>
      <c r="L75" s="62">
        <f>EFEITO!$N$75*EFEITO!$AA$75</f>
        <v>807602.07460614829</v>
      </c>
      <c r="M75" s="62">
        <f>$J$75-EFEITO!$K$75*EFEITO!$Y$75</f>
        <v>0</v>
      </c>
      <c r="N75" s="62">
        <f ca="1">$K$75-EFEITO!$M$75*EFEITO!$Z$75</f>
        <v>0</v>
      </c>
      <c r="O75" s="62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41" t="s">
        <v>28</v>
      </c>
      <c r="B76" s="41" t="s">
        <v>35</v>
      </c>
      <c r="C76" s="41" t="s">
        <v>39</v>
      </c>
      <c r="D76" s="41" t="s">
        <v>34</v>
      </c>
      <c r="E76" s="41" t="s">
        <v>25</v>
      </c>
      <c r="F76" s="41" t="s">
        <v>25</v>
      </c>
      <c r="G76" s="41" t="s">
        <v>25</v>
      </c>
      <c r="H76" s="41" t="s">
        <v>38</v>
      </c>
      <c r="I76" s="61">
        <v>44682</v>
      </c>
      <c r="J76" s="62">
        <f>EFEITO!$J$76*EFEITO!$Y$76</f>
        <v>0</v>
      </c>
      <c r="K76" s="62">
        <f ca="1">EFEITO!$L$76*EFEITO!$Z$76</f>
        <v>493.38236667417829</v>
      </c>
      <c r="L76" s="62">
        <f>EFEITO!$N$76*EFEITO!$AA$76</f>
        <v>713.17027010718721</v>
      </c>
      <c r="M76" s="62">
        <f>$J$76-EFEITO!$K$76*EFEITO!$Y$76</f>
        <v>0</v>
      </c>
      <c r="N76" s="62">
        <f ca="1">$K$76-EFEITO!$M$76*EFEITO!$Z$76</f>
        <v>0</v>
      </c>
      <c r="O76" s="62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41" t="s">
        <v>21</v>
      </c>
      <c r="B77" s="41" t="s">
        <v>35</v>
      </c>
      <c r="C77" s="41" t="s">
        <v>39</v>
      </c>
      <c r="D77" s="41" t="s">
        <v>34</v>
      </c>
      <c r="E77" s="41" t="s">
        <v>25</v>
      </c>
      <c r="F77" s="41" t="s">
        <v>25</v>
      </c>
      <c r="G77" s="41" t="s">
        <v>25</v>
      </c>
      <c r="H77" s="41" t="s">
        <v>38</v>
      </c>
      <c r="I77" s="61">
        <v>44713</v>
      </c>
      <c r="J77" s="62">
        <f>EFEITO!$J$77*EFEITO!$Y$77</f>
        <v>0</v>
      </c>
      <c r="K77" s="62">
        <f ca="1">EFEITO!$L$77*EFEITO!$Z$77</f>
        <v>570826.57409235614</v>
      </c>
      <c r="L77" s="62">
        <f>EFEITO!$N$77*EFEITO!$AA$77</f>
        <v>825113.68368105032</v>
      </c>
      <c r="M77" s="62">
        <f>$J$77-EFEITO!$K$77*EFEITO!$Y$77</f>
        <v>0</v>
      </c>
      <c r="N77" s="62">
        <f ca="1">$K$77-EFEITO!$M$77*EFEITO!$Z$77</f>
        <v>0</v>
      </c>
      <c r="O77" s="62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41" t="s">
        <v>28</v>
      </c>
      <c r="B78" s="41" t="s">
        <v>35</v>
      </c>
      <c r="C78" s="41" t="s">
        <v>39</v>
      </c>
      <c r="D78" s="41" t="s">
        <v>34</v>
      </c>
      <c r="E78" s="41" t="s">
        <v>25</v>
      </c>
      <c r="F78" s="41" t="s">
        <v>25</v>
      </c>
      <c r="G78" s="41" t="s">
        <v>25</v>
      </c>
      <c r="H78" s="41" t="s">
        <v>38</v>
      </c>
      <c r="I78" s="61">
        <v>44713</v>
      </c>
      <c r="J78" s="62">
        <f>EFEITO!$J$78*EFEITO!$Y$78</f>
        <v>0</v>
      </c>
      <c r="K78" s="62">
        <f ca="1">EFEITO!$L$78*EFEITO!$Z$78</f>
        <v>352.55100147407762</v>
      </c>
      <c r="L78" s="62">
        <f>EFEITO!$N$78*EFEITO!$AA$78</f>
        <v>509.602511015289</v>
      </c>
      <c r="M78" s="62">
        <f>$J$78-EFEITO!$K$78*EFEITO!$Y$78</f>
        <v>0</v>
      </c>
      <c r="N78" s="62">
        <f ca="1">$K$78-EFEITO!$M$78*EFEITO!$Z$78</f>
        <v>0</v>
      </c>
      <c r="O78" s="62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41" t="s">
        <v>21</v>
      </c>
      <c r="B79" s="41" t="s">
        <v>35</v>
      </c>
      <c r="C79" s="41" t="s">
        <v>39</v>
      </c>
      <c r="D79" s="41" t="s">
        <v>34</v>
      </c>
      <c r="E79" s="41" t="s">
        <v>25</v>
      </c>
      <c r="F79" s="41" t="s">
        <v>25</v>
      </c>
      <c r="G79" s="41" t="s">
        <v>25</v>
      </c>
      <c r="H79" s="41" t="s">
        <v>38</v>
      </c>
      <c r="I79" s="61">
        <v>44743</v>
      </c>
      <c r="J79" s="62">
        <f>EFEITO!$J$79*EFEITO!$Y$79</f>
        <v>0</v>
      </c>
      <c r="K79" s="62">
        <f ca="1">EFEITO!$L$79*EFEITO!$Z$79</f>
        <v>548550.5492724065</v>
      </c>
      <c r="L79" s="62">
        <f>EFEITO!$N$79*EFEITO!$AA$79</f>
        <v>792914.31923102506</v>
      </c>
      <c r="M79" s="62">
        <f>$J$79-EFEITO!$K$79*EFEITO!$Y$79</f>
        <v>0</v>
      </c>
      <c r="N79" s="62">
        <f ca="1">$K$79-EFEITO!$M$79*EFEITO!$Z$79</f>
        <v>0</v>
      </c>
      <c r="O79" s="62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41" t="s">
        <v>28</v>
      </c>
      <c r="B80" s="41" t="s">
        <v>35</v>
      </c>
      <c r="C80" s="41" t="s">
        <v>39</v>
      </c>
      <c r="D80" s="41" t="s">
        <v>34</v>
      </c>
      <c r="E80" s="41" t="s">
        <v>25</v>
      </c>
      <c r="F80" s="41" t="s">
        <v>25</v>
      </c>
      <c r="G80" s="41" t="s">
        <v>25</v>
      </c>
      <c r="H80" s="41" t="s">
        <v>38</v>
      </c>
      <c r="I80" s="61">
        <v>44743</v>
      </c>
      <c r="J80" s="62">
        <f>EFEITO!$J$80*EFEITO!$Y$80</f>
        <v>0</v>
      </c>
      <c r="K80" s="62">
        <f ca="1">EFEITO!$L$80*EFEITO!$Z$80</f>
        <v>569.46911096013878</v>
      </c>
      <c r="L80" s="62">
        <f>EFEITO!$N$80*EFEITO!$AA$80</f>
        <v>823.15150907965585</v>
      </c>
      <c r="M80" s="62">
        <f>$J$80-EFEITO!$K$80*EFEITO!$Y$80</f>
        <v>0</v>
      </c>
      <c r="N80" s="62">
        <f ca="1">$K$80-EFEITO!$M$80*EFEITO!$Z$80</f>
        <v>0</v>
      </c>
      <c r="O80" s="62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41" t="s">
        <v>55</v>
      </c>
      <c r="B81" s="41" t="s">
        <v>35</v>
      </c>
      <c r="C81" s="41" t="s">
        <v>39</v>
      </c>
      <c r="D81" s="41" t="s">
        <v>34</v>
      </c>
      <c r="E81" s="41" t="s">
        <v>25</v>
      </c>
      <c r="F81" s="41" t="s">
        <v>25</v>
      </c>
      <c r="G81" s="41" t="s">
        <v>25</v>
      </c>
      <c r="H81" s="41" t="s">
        <v>38</v>
      </c>
      <c r="I81" s="61">
        <v>44774</v>
      </c>
      <c r="J81" s="62">
        <f>EFEITO!$J$81*EFEITO!$Y$81</f>
        <v>0</v>
      </c>
      <c r="K81" s="62">
        <f ca="1">EFEITO!$L$81*EFEITO!$Z$81</f>
        <v>548550.5492724065</v>
      </c>
      <c r="L81" s="62">
        <f>EFEITO!$N$81*EFEITO!$AA$81</f>
        <v>792914.31923102506</v>
      </c>
      <c r="M81" s="62">
        <f>$J$81-EFEITO!$K$81*EFEITO!$Y$81</f>
        <v>0</v>
      </c>
      <c r="N81" s="62">
        <f ca="1">$K$81-EFEITO!$M$81*EFEITO!$Z$81</f>
        <v>0</v>
      </c>
      <c r="O81" s="62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41" t="s">
        <v>55</v>
      </c>
      <c r="B82" s="41" t="s">
        <v>35</v>
      </c>
      <c r="C82" s="41" t="s">
        <v>39</v>
      </c>
      <c r="D82" s="41" t="s">
        <v>34</v>
      </c>
      <c r="E82" s="41" t="s">
        <v>25</v>
      </c>
      <c r="F82" s="41" t="s">
        <v>25</v>
      </c>
      <c r="G82" s="41" t="s">
        <v>25</v>
      </c>
      <c r="H82" s="41" t="s">
        <v>38</v>
      </c>
      <c r="I82" s="61">
        <v>44774</v>
      </c>
      <c r="J82" s="62">
        <f>EFEITO!$J$82*EFEITO!$Y$82</f>
        <v>0</v>
      </c>
      <c r="K82" s="62">
        <f ca="1">EFEITO!$L$82*EFEITO!$Z$82</f>
        <v>569.46911096013878</v>
      </c>
      <c r="L82" s="62">
        <f>EFEITO!$N$82*EFEITO!$AA$82</f>
        <v>823.15150907965585</v>
      </c>
      <c r="M82" s="62">
        <f>$J$82-EFEITO!$K$82*EFEITO!$Y$82</f>
        <v>0</v>
      </c>
      <c r="N82" s="62">
        <f ca="1">$K$82-EFEITO!$M$82*EFEITO!$Z$82</f>
        <v>0</v>
      </c>
      <c r="O82" s="62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41" t="s">
        <v>21</v>
      </c>
      <c r="B83" s="41" t="s">
        <v>35</v>
      </c>
      <c r="C83" s="41" t="s">
        <v>39</v>
      </c>
      <c r="D83" s="41" t="s">
        <v>34</v>
      </c>
      <c r="E83" s="41" t="s">
        <v>25</v>
      </c>
      <c r="F83" s="41" t="s">
        <v>25</v>
      </c>
      <c r="G83" s="41" t="s">
        <v>25</v>
      </c>
      <c r="H83" s="41" t="s">
        <v>25</v>
      </c>
      <c r="I83" s="61">
        <v>44440</v>
      </c>
      <c r="J83" s="62">
        <f ca="1">EFEITO!$J$83*EFEITO!$Y$83</f>
        <v>802079.6980614044</v>
      </c>
      <c r="K83" s="62">
        <f>EFEITO!$L$83*EFEITO!$Z$83</f>
        <v>0</v>
      </c>
      <c r="L83" s="62">
        <f>EFEITO!$N$83*EFEITO!$AA$83</f>
        <v>0</v>
      </c>
      <c r="M83" s="62">
        <f ca="1">$J$83-EFEITO!$K$83*EFEITO!$Y$83</f>
        <v>0</v>
      </c>
      <c r="N83" s="62">
        <f>$K$83-EFEITO!$M$83*EFEITO!$Z$83</f>
        <v>0</v>
      </c>
      <c r="O83" s="62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41" t="s">
        <v>28</v>
      </c>
      <c r="B84" s="41" t="s">
        <v>35</v>
      </c>
      <c r="C84" s="41" t="s">
        <v>39</v>
      </c>
      <c r="D84" s="41" t="s">
        <v>34</v>
      </c>
      <c r="E84" s="41" t="s">
        <v>25</v>
      </c>
      <c r="F84" s="41" t="s">
        <v>25</v>
      </c>
      <c r="G84" s="41" t="s">
        <v>25</v>
      </c>
      <c r="H84" s="41" t="s">
        <v>25</v>
      </c>
      <c r="I84" s="61">
        <v>44440</v>
      </c>
      <c r="J84" s="62">
        <f ca="1">EFEITO!$J$84*EFEITO!$Y$84</f>
        <v>8562.8599661354838</v>
      </c>
      <c r="K84" s="62">
        <f>EFEITO!$L$84*EFEITO!$Z$84</f>
        <v>0</v>
      </c>
      <c r="L84" s="62">
        <f>EFEITO!$N$84*EFEITO!$AA$84</f>
        <v>0</v>
      </c>
      <c r="M84" s="62">
        <f ca="1">$J$84-EFEITO!$K$84*EFEITO!$Y$84</f>
        <v>0</v>
      </c>
      <c r="N84" s="62">
        <f>$K$84-EFEITO!$M$84*EFEITO!$Z$84</f>
        <v>0</v>
      </c>
      <c r="O84" s="62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41" t="s">
        <v>21</v>
      </c>
      <c r="B85" s="41" t="s">
        <v>35</v>
      </c>
      <c r="C85" s="41" t="s">
        <v>39</v>
      </c>
      <c r="D85" s="41" t="s">
        <v>34</v>
      </c>
      <c r="E85" s="41" t="s">
        <v>25</v>
      </c>
      <c r="F85" s="41" t="s">
        <v>25</v>
      </c>
      <c r="G85" s="41" t="s">
        <v>25</v>
      </c>
      <c r="H85" s="41" t="s">
        <v>25</v>
      </c>
      <c r="I85" s="61">
        <v>44470</v>
      </c>
      <c r="J85" s="62">
        <f ca="1">EFEITO!$J$85*EFEITO!$Y$85</f>
        <v>796987.24830180837</v>
      </c>
      <c r="K85" s="62">
        <f>EFEITO!$L$85*EFEITO!$Z$85</f>
        <v>0</v>
      </c>
      <c r="L85" s="62">
        <f>EFEITO!$N$85*EFEITO!$AA$85</f>
        <v>0</v>
      </c>
      <c r="M85" s="62">
        <f ca="1">$J$85-EFEITO!$K$85*EFEITO!$Y$85</f>
        <v>0</v>
      </c>
      <c r="N85" s="62">
        <f>$K$85-EFEITO!$M$85*EFEITO!$Z$85</f>
        <v>0</v>
      </c>
      <c r="O85" s="62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41" t="s">
        <v>28</v>
      </c>
      <c r="B86" s="41" t="s">
        <v>35</v>
      </c>
      <c r="C86" s="41" t="s">
        <v>39</v>
      </c>
      <c r="D86" s="41" t="s">
        <v>34</v>
      </c>
      <c r="E86" s="41" t="s">
        <v>25</v>
      </c>
      <c r="F86" s="41" t="s">
        <v>25</v>
      </c>
      <c r="G86" s="41" t="s">
        <v>25</v>
      </c>
      <c r="H86" s="41" t="s">
        <v>25</v>
      </c>
      <c r="I86" s="61">
        <v>44470</v>
      </c>
      <c r="J86" s="62">
        <f ca="1">EFEITO!$J$86*EFEITO!$Y$86</f>
        <v>9619.0717681257647</v>
      </c>
      <c r="K86" s="62">
        <f>EFEITO!$L$86*EFEITO!$Z$86</f>
        <v>0</v>
      </c>
      <c r="L86" s="62">
        <f>EFEITO!$N$86*EFEITO!$AA$86</f>
        <v>0</v>
      </c>
      <c r="M86" s="62">
        <f ca="1">$J$86-EFEITO!$K$86*EFEITO!$Y$86</f>
        <v>0</v>
      </c>
      <c r="N86" s="62">
        <f>$K$86-EFEITO!$M$86*EFEITO!$Z$86</f>
        <v>0</v>
      </c>
      <c r="O86" s="62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41" t="s">
        <v>21</v>
      </c>
      <c r="B87" s="41" t="s">
        <v>35</v>
      </c>
      <c r="C87" s="41" t="s">
        <v>39</v>
      </c>
      <c r="D87" s="41" t="s">
        <v>34</v>
      </c>
      <c r="E87" s="41" t="s">
        <v>25</v>
      </c>
      <c r="F87" s="41" t="s">
        <v>25</v>
      </c>
      <c r="G87" s="41" t="s">
        <v>25</v>
      </c>
      <c r="H87" s="41" t="s">
        <v>25</v>
      </c>
      <c r="I87" s="61">
        <v>44501</v>
      </c>
      <c r="J87" s="62">
        <f ca="1">EFEITO!$J$87*EFEITO!$Y$87</f>
        <v>797779.40715330106</v>
      </c>
      <c r="K87" s="62">
        <f>EFEITO!$L$87*EFEITO!$Z$87</f>
        <v>0</v>
      </c>
      <c r="L87" s="62">
        <f>EFEITO!$N$87*EFEITO!$AA$87</f>
        <v>0</v>
      </c>
      <c r="M87" s="62">
        <f ca="1">$J$87-EFEITO!$K$87*EFEITO!$Y$87</f>
        <v>0</v>
      </c>
      <c r="N87" s="62">
        <f>$K$87-EFEITO!$M$87*EFEITO!$Z$87</f>
        <v>0</v>
      </c>
      <c r="O87" s="62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41" t="s">
        <v>28</v>
      </c>
      <c r="B88" s="41" t="s">
        <v>35</v>
      </c>
      <c r="C88" s="41" t="s">
        <v>39</v>
      </c>
      <c r="D88" s="41" t="s">
        <v>34</v>
      </c>
      <c r="E88" s="41" t="s">
        <v>25</v>
      </c>
      <c r="F88" s="41" t="s">
        <v>25</v>
      </c>
      <c r="G88" s="41" t="s">
        <v>25</v>
      </c>
      <c r="H88" s="41" t="s">
        <v>25</v>
      </c>
      <c r="I88" s="61">
        <v>44501</v>
      </c>
      <c r="J88" s="62">
        <f ca="1">EFEITO!$J$88*EFEITO!$Y$88</f>
        <v>4903.8405092405856</v>
      </c>
      <c r="K88" s="62">
        <f>EFEITO!$L$88*EFEITO!$Z$88</f>
        <v>0</v>
      </c>
      <c r="L88" s="62">
        <f>EFEITO!$N$88*EFEITO!$AA$88</f>
        <v>0</v>
      </c>
      <c r="M88" s="62">
        <f ca="1">$J$88-EFEITO!$K$88*EFEITO!$Y$88</f>
        <v>0</v>
      </c>
      <c r="N88" s="62">
        <f>$K$88-EFEITO!$M$88*EFEITO!$Z$88</f>
        <v>0</v>
      </c>
      <c r="O88" s="62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41" t="s">
        <v>21</v>
      </c>
      <c r="B89" s="41" t="s">
        <v>35</v>
      </c>
      <c r="C89" s="41" t="s">
        <v>39</v>
      </c>
      <c r="D89" s="41" t="s">
        <v>34</v>
      </c>
      <c r="E89" s="41" t="s">
        <v>25</v>
      </c>
      <c r="F89" s="41" t="s">
        <v>25</v>
      </c>
      <c r="G89" s="41" t="s">
        <v>25</v>
      </c>
      <c r="H89" s="41" t="s">
        <v>25</v>
      </c>
      <c r="I89" s="61">
        <v>44531</v>
      </c>
      <c r="J89" s="62">
        <f ca="1">EFEITO!$J$89*EFEITO!$Y$89</f>
        <v>804305.28721559816</v>
      </c>
      <c r="K89" s="62">
        <f>EFEITO!$L$89*EFEITO!$Z$89</f>
        <v>0</v>
      </c>
      <c r="L89" s="62">
        <f>EFEITO!$N$89*EFEITO!$AA$89</f>
        <v>0</v>
      </c>
      <c r="M89" s="62">
        <f ca="1">$J$89-EFEITO!$K$89*EFEITO!$Y$89</f>
        <v>0</v>
      </c>
      <c r="N89" s="62">
        <f>$K$89-EFEITO!$M$89*EFEITO!$Z$89</f>
        <v>0</v>
      </c>
      <c r="O89" s="62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41" t="s">
        <v>28</v>
      </c>
      <c r="B90" s="41" t="s">
        <v>35</v>
      </c>
      <c r="C90" s="41" t="s">
        <v>39</v>
      </c>
      <c r="D90" s="41" t="s">
        <v>34</v>
      </c>
      <c r="E90" s="41" t="s">
        <v>25</v>
      </c>
      <c r="F90" s="41" t="s">
        <v>25</v>
      </c>
      <c r="G90" s="41" t="s">
        <v>25</v>
      </c>
      <c r="H90" s="41" t="s">
        <v>25</v>
      </c>
      <c r="I90" s="61">
        <v>44531</v>
      </c>
      <c r="J90" s="62">
        <f ca="1">EFEITO!$J$90*EFEITO!$Y$90</f>
        <v>4903.8405092405856</v>
      </c>
      <c r="K90" s="62">
        <f>EFEITO!$L$90*EFEITO!$Z$90</f>
        <v>0</v>
      </c>
      <c r="L90" s="62">
        <f>EFEITO!$N$90*EFEITO!$AA$90</f>
        <v>0</v>
      </c>
      <c r="M90" s="62">
        <f ca="1">$J$90-EFEITO!$K$90*EFEITO!$Y$90</f>
        <v>0</v>
      </c>
      <c r="N90" s="62">
        <f>$K$90-EFEITO!$M$90*EFEITO!$Z$90</f>
        <v>0</v>
      </c>
      <c r="O90" s="62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41" t="s">
        <v>21</v>
      </c>
      <c r="B91" s="41" t="s">
        <v>35</v>
      </c>
      <c r="C91" s="41" t="s">
        <v>39</v>
      </c>
      <c r="D91" s="41" t="s">
        <v>34</v>
      </c>
      <c r="E91" s="41" t="s">
        <v>25</v>
      </c>
      <c r="F91" s="41" t="s">
        <v>25</v>
      </c>
      <c r="G91" s="41" t="s">
        <v>25</v>
      </c>
      <c r="H91" s="41" t="s">
        <v>25</v>
      </c>
      <c r="I91" s="61">
        <v>44562</v>
      </c>
      <c r="J91" s="62">
        <f ca="1">EFEITO!$J$91*EFEITO!$Y$91</f>
        <v>805361.49901758844</v>
      </c>
      <c r="K91" s="62">
        <f>EFEITO!$L$91*EFEITO!$Z$91</f>
        <v>0</v>
      </c>
      <c r="L91" s="62">
        <f>EFEITO!$N$91*EFEITO!$AA$91</f>
        <v>0</v>
      </c>
      <c r="M91" s="62">
        <f ca="1">$J$91-EFEITO!$K$91*EFEITO!$Y$91</f>
        <v>0</v>
      </c>
      <c r="N91" s="62">
        <f>$K$91-EFEITO!$M$91*EFEITO!$Z$91</f>
        <v>0</v>
      </c>
      <c r="O91" s="62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41" t="s">
        <v>28</v>
      </c>
      <c r="B92" s="41" t="s">
        <v>35</v>
      </c>
      <c r="C92" s="41" t="s">
        <v>39</v>
      </c>
      <c r="D92" s="41" t="s">
        <v>34</v>
      </c>
      <c r="E92" s="41" t="s">
        <v>25</v>
      </c>
      <c r="F92" s="41" t="s">
        <v>25</v>
      </c>
      <c r="G92" s="41" t="s">
        <v>25</v>
      </c>
      <c r="H92" s="41" t="s">
        <v>25</v>
      </c>
      <c r="I92" s="61">
        <v>44562</v>
      </c>
      <c r="J92" s="62">
        <f ca="1">EFEITO!$J$92*EFEITO!$Y$92</f>
        <v>4903.8405092405856</v>
      </c>
      <c r="K92" s="62">
        <f>EFEITO!$L$92*EFEITO!$Z$92</f>
        <v>0</v>
      </c>
      <c r="L92" s="62">
        <f>EFEITO!$N$92*EFEITO!$AA$92</f>
        <v>0</v>
      </c>
      <c r="M92" s="62">
        <f ca="1">$J$92-EFEITO!$K$92*EFEITO!$Y$92</f>
        <v>0</v>
      </c>
      <c r="N92" s="62">
        <f>$K$92-EFEITO!$M$92*EFEITO!$Z$92</f>
        <v>0</v>
      </c>
      <c r="O92" s="62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41" t="s">
        <v>21</v>
      </c>
      <c r="B93" s="41" t="s">
        <v>35</v>
      </c>
      <c r="C93" s="41" t="s">
        <v>39</v>
      </c>
      <c r="D93" s="41" t="s">
        <v>34</v>
      </c>
      <c r="E93" s="41" t="s">
        <v>25</v>
      </c>
      <c r="F93" s="41" t="s">
        <v>25</v>
      </c>
      <c r="G93" s="41" t="s">
        <v>25</v>
      </c>
      <c r="H93" s="41" t="s">
        <v>25</v>
      </c>
      <c r="I93" s="61">
        <v>44593</v>
      </c>
      <c r="J93" s="62">
        <f ca="1">EFEITO!$J$93*EFEITO!$Y$93</f>
        <v>803928.06871488737</v>
      </c>
      <c r="K93" s="62">
        <f>EFEITO!$L$93*EFEITO!$Z$93</f>
        <v>0</v>
      </c>
      <c r="L93" s="62">
        <f>EFEITO!$N$93*EFEITO!$AA$93</f>
        <v>0</v>
      </c>
      <c r="M93" s="62">
        <f ca="1">$J$93-EFEITO!$K$93*EFEITO!$Y$93</f>
        <v>0</v>
      </c>
      <c r="N93" s="62">
        <f>$K$93-EFEITO!$M$93*EFEITO!$Z$93</f>
        <v>0</v>
      </c>
      <c r="O93" s="62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41" t="s">
        <v>28</v>
      </c>
      <c r="B94" s="41" t="s">
        <v>35</v>
      </c>
      <c r="C94" s="41" t="s">
        <v>39</v>
      </c>
      <c r="D94" s="41" t="s">
        <v>34</v>
      </c>
      <c r="E94" s="41" t="s">
        <v>25</v>
      </c>
      <c r="F94" s="41" t="s">
        <v>25</v>
      </c>
      <c r="G94" s="41" t="s">
        <v>25</v>
      </c>
      <c r="H94" s="41" t="s">
        <v>25</v>
      </c>
      <c r="I94" s="61">
        <v>44593</v>
      </c>
      <c r="J94" s="62">
        <f ca="1">EFEITO!$J$94*EFEITO!$Y$94</f>
        <v>4903.8405092405856</v>
      </c>
      <c r="K94" s="62">
        <f>EFEITO!$L$94*EFEITO!$Z$94</f>
        <v>0</v>
      </c>
      <c r="L94" s="62">
        <f>EFEITO!$N$94*EFEITO!$AA$94</f>
        <v>0</v>
      </c>
      <c r="M94" s="62">
        <f ca="1">$J$94-EFEITO!$K$94*EFEITO!$Y$94</f>
        <v>0</v>
      </c>
      <c r="N94" s="62">
        <f>$K$94-EFEITO!$M$94*EFEITO!$Z$94</f>
        <v>0</v>
      </c>
      <c r="O94" s="62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41" t="s">
        <v>21</v>
      </c>
      <c r="B95" s="41" t="s">
        <v>35</v>
      </c>
      <c r="C95" s="41" t="s">
        <v>39</v>
      </c>
      <c r="D95" s="41" t="s">
        <v>34</v>
      </c>
      <c r="E95" s="41" t="s">
        <v>25</v>
      </c>
      <c r="F95" s="41" t="s">
        <v>25</v>
      </c>
      <c r="G95" s="41" t="s">
        <v>25</v>
      </c>
      <c r="H95" s="41" t="s">
        <v>25</v>
      </c>
      <c r="I95" s="61">
        <v>44621</v>
      </c>
      <c r="J95" s="62">
        <f ca="1">EFEITO!$J$95*EFEITO!$Y$95</f>
        <v>802871.85691289708</v>
      </c>
      <c r="K95" s="62">
        <f>EFEITO!$L$95*EFEITO!$Z$95</f>
        <v>0</v>
      </c>
      <c r="L95" s="62">
        <f>EFEITO!$N$95*EFEITO!$AA$95</f>
        <v>0</v>
      </c>
      <c r="M95" s="62">
        <f ca="1">$J$95-EFEITO!$K$95*EFEITO!$Y$95</f>
        <v>0</v>
      </c>
      <c r="N95" s="62">
        <f>$K$95-EFEITO!$M$95*EFEITO!$Z$95</f>
        <v>0</v>
      </c>
      <c r="O95" s="62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41" t="s">
        <v>28</v>
      </c>
      <c r="B96" s="41" t="s">
        <v>35</v>
      </c>
      <c r="C96" s="41" t="s">
        <v>39</v>
      </c>
      <c r="D96" s="41" t="s">
        <v>34</v>
      </c>
      <c r="E96" s="41" t="s">
        <v>25</v>
      </c>
      <c r="F96" s="41" t="s">
        <v>25</v>
      </c>
      <c r="G96" s="41" t="s">
        <v>25</v>
      </c>
      <c r="H96" s="41" t="s">
        <v>25</v>
      </c>
      <c r="I96" s="61">
        <v>44621</v>
      </c>
      <c r="J96" s="62">
        <f ca="1">EFEITO!$J$96*EFEITO!$Y$96</f>
        <v>4903.8405092405856</v>
      </c>
      <c r="K96" s="62">
        <f>EFEITO!$L$96*EFEITO!$Z$96</f>
        <v>0</v>
      </c>
      <c r="L96" s="62">
        <f>EFEITO!$N$96*EFEITO!$AA$96</f>
        <v>0</v>
      </c>
      <c r="M96" s="62">
        <f ca="1">$J$96-EFEITO!$K$96*EFEITO!$Y$96</f>
        <v>0</v>
      </c>
      <c r="N96" s="62">
        <f>$K$96-EFEITO!$M$96*EFEITO!$Z$96</f>
        <v>0</v>
      </c>
      <c r="O96" s="62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41" t="s">
        <v>21</v>
      </c>
      <c r="B97" s="41" t="s">
        <v>35</v>
      </c>
      <c r="C97" s="41" t="s">
        <v>39</v>
      </c>
      <c r="D97" s="41" t="s">
        <v>34</v>
      </c>
      <c r="E97" s="41" t="s">
        <v>25</v>
      </c>
      <c r="F97" s="41" t="s">
        <v>25</v>
      </c>
      <c r="G97" s="41" t="s">
        <v>25</v>
      </c>
      <c r="H97" s="41" t="s">
        <v>25</v>
      </c>
      <c r="I97" s="61">
        <v>44652</v>
      </c>
      <c r="J97" s="62">
        <f ca="1">EFEITO!$J$97*EFEITO!$Y$97</f>
        <v>804607.06201616686</v>
      </c>
      <c r="K97" s="62">
        <f>EFEITO!$L$97*EFEITO!$Z$97</f>
        <v>0</v>
      </c>
      <c r="L97" s="62">
        <f>EFEITO!$N$97*EFEITO!$AA$97</f>
        <v>0</v>
      </c>
      <c r="M97" s="62">
        <f ca="1">$J$97-EFEITO!$K$97*EFEITO!$Y$97</f>
        <v>0</v>
      </c>
      <c r="N97" s="62">
        <f>$K$97-EFEITO!$M$97*EFEITO!$Z$97</f>
        <v>0</v>
      </c>
      <c r="O97" s="62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41" t="s">
        <v>28</v>
      </c>
      <c r="B98" s="41" t="s">
        <v>35</v>
      </c>
      <c r="C98" s="41" t="s">
        <v>39</v>
      </c>
      <c r="D98" s="41" t="s">
        <v>34</v>
      </c>
      <c r="E98" s="41" t="s">
        <v>25</v>
      </c>
      <c r="F98" s="41" t="s">
        <v>25</v>
      </c>
      <c r="G98" s="41" t="s">
        <v>25</v>
      </c>
      <c r="H98" s="41" t="s">
        <v>25</v>
      </c>
      <c r="I98" s="61">
        <v>44652</v>
      </c>
      <c r="J98" s="62">
        <f ca="1">EFEITO!$J$98*EFEITO!$Y$98</f>
        <v>4903.8405092405856</v>
      </c>
      <c r="K98" s="62">
        <f>EFEITO!$L$98*EFEITO!$Z$98</f>
        <v>0</v>
      </c>
      <c r="L98" s="62">
        <f>EFEITO!$N$98*EFEITO!$AA$98</f>
        <v>0</v>
      </c>
      <c r="M98" s="62">
        <f ca="1">$J$98-EFEITO!$K$98*EFEITO!$Y$98</f>
        <v>0</v>
      </c>
      <c r="N98" s="62">
        <f>$K$98-EFEITO!$M$98*EFEITO!$Z$98</f>
        <v>0</v>
      </c>
      <c r="O98" s="62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41" t="s">
        <v>21</v>
      </c>
      <c r="B99" s="41" t="s">
        <v>35</v>
      </c>
      <c r="C99" s="41" t="s">
        <v>39</v>
      </c>
      <c r="D99" s="41" t="s">
        <v>34</v>
      </c>
      <c r="E99" s="41" t="s">
        <v>25</v>
      </c>
      <c r="F99" s="41" t="s">
        <v>25</v>
      </c>
      <c r="G99" s="41" t="s">
        <v>25</v>
      </c>
      <c r="H99" s="41" t="s">
        <v>25</v>
      </c>
      <c r="I99" s="61">
        <v>44682</v>
      </c>
      <c r="J99" s="62">
        <f ca="1">EFEITO!$J$99*EFEITO!$Y$99</f>
        <v>827315.61575895781</v>
      </c>
      <c r="K99" s="62">
        <f>EFEITO!$L$99*EFEITO!$Z$99</f>
        <v>0</v>
      </c>
      <c r="L99" s="62">
        <f>EFEITO!$N$99*EFEITO!$AA$99</f>
        <v>0</v>
      </c>
      <c r="M99" s="62">
        <f ca="1">$J$99-EFEITO!$K$99*EFEITO!$Y$99</f>
        <v>0</v>
      </c>
      <c r="N99" s="62">
        <f>$K$99-EFEITO!$M$99*EFEITO!$Z$99</f>
        <v>0</v>
      </c>
      <c r="O99" s="62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41" t="s">
        <v>28</v>
      </c>
      <c r="B100" s="41" t="s">
        <v>35</v>
      </c>
      <c r="C100" s="41" t="s">
        <v>39</v>
      </c>
      <c r="D100" s="41" t="s">
        <v>34</v>
      </c>
      <c r="E100" s="41" t="s">
        <v>25</v>
      </c>
      <c r="F100" s="41" t="s">
        <v>25</v>
      </c>
      <c r="G100" s="41" t="s">
        <v>25</v>
      </c>
      <c r="H100" s="41" t="s">
        <v>25</v>
      </c>
      <c r="I100" s="61">
        <v>44682</v>
      </c>
      <c r="J100" s="62">
        <f ca="1">EFEITO!$J$100*EFEITO!$Y$100</f>
        <v>9053.2440170595419</v>
      </c>
      <c r="K100" s="62">
        <f>EFEITO!$L$100*EFEITO!$Z$100</f>
        <v>0</v>
      </c>
      <c r="L100" s="62">
        <f>EFEITO!$N$100*EFEITO!$AA$100</f>
        <v>0</v>
      </c>
      <c r="M100" s="62">
        <f ca="1">$J$100-EFEITO!$K$100*EFEITO!$Y$100</f>
        <v>0</v>
      </c>
      <c r="N100" s="62">
        <f>$K$100-EFEITO!$M$100*EFEITO!$Z$100</f>
        <v>0</v>
      </c>
      <c r="O100" s="62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41" t="s">
        <v>21</v>
      </c>
      <c r="B101" s="41" t="s">
        <v>35</v>
      </c>
      <c r="C101" s="41" t="s">
        <v>39</v>
      </c>
      <c r="D101" s="41" t="s">
        <v>34</v>
      </c>
      <c r="E101" s="41" t="s">
        <v>25</v>
      </c>
      <c r="F101" s="41" t="s">
        <v>25</v>
      </c>
      <c r="G101" s="41" t="s">
        <v>25</v>
      </c>
      <c r="H101" s="41" t="s">
        <v>25</v>
      </c>
      <c r="I101" s="61">
        <v>44713</v>
      </c>
      <c r="J101" s="62">
        <f ca="1">EFEITO!$J$101*EFEITO!$Y$101</f>
        <v>822411.77524971729</v>
      </c>
      <c r="K101" s="62">
        <f>EFEITO!$L$101*EFEITO!$Z$101</f>
        <v>0</v>
      </c>
      <c r="L101" s="62">
        <f>EFEITO!$N$101*EFEITO!$AA$101</f>
        <v>0</v>
      </c>
      <c r="M101" s="62">
        <f ca="1">$J$101-EFEITO!$K$101*EFEITO!$Y$101</f>
        <v>0</v>
      </c>
      <c r="N101" s="62">
        <f>$K$101-EFEITO!$M$101*EFEITO!$Z$101</f>
        <v>0</v>
      </c>
      <c r="O101" s="62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41" t="s">
        <v>28</v>
      </c>
      <c r="B102" s="41" t="s">
        <v>35</v>
      </c>
      <c r="C102" s="41" t="s">
        <v>39</v>
      </c>
      <c r="D102" s="41" t="s">
        <v>34</v>
      </c>
      <c r="E102" s="41" t="s">
        <v>25</v>
      </c>
      <c r="F102" s="41" t="s">
        <v>25</v>
      </c>
      <c r="G102" s="41" t="s">
        <v>25</v>
      </c>
      <c r="H102" s="41" t="s">
        <v>25</v>
      </c>
      <c r="I102" s="61">
        <v>44713</v>
      </c>
      <c r="J102" s="62">
        <f ca="1">EFEITO!$J$102*EFEITO!$Y$102</f>
        <v>4903.8405092405856</v>
      </c>
      <c r="K102" s="62">
        <f>EFEITO!$L$102*EFEITO!$Z$102</f>
        <v>0</v>
      </c>
      <c r="L102" s="62">
        <f>EFEITO!$N$102*EFEITO!$AA$102</f>
        <v>0</v>
      </c>
      <c r="M102" s="62">
        <f ca="1">$J$102-EFEITO!$K$102*EFEITO!$Y$102</f>
        <v>0</v>
      </c>
      <c r="N102" s="62">
        <f>$K$102-EFEITO!$M$102*EFEITO!$Z$102</f>
        <v>0</v>
      </c>
      <c r="O102" s="62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41" t="s">
        <v>21</v>
      </c>
      <c r="B103" s="41" t="s">
        <v>35</v>
      </c>
      <c r="C103" s="41" t="s">
        <v>39</v>
      </c>
      <c r="D103" s="41" t="s">
        <v>34</v>
      </c>
      <c r="E103" s="41" t="s">
        <v>25</v>
      </c>
      <c r="F103" s="41" t="s">
        <v>25</v>
      </c>
      <c r="G103" s="41" t="s">
        <v>25</v>
      </c>
      <c r="H103" s="41" t="s">
        <v>25</v>
      </c>
      <c r="I103" s="61">
        <v>44743</v>
      </c>
      <c r="J103" s="62">
        <f ca="1">EFEITO!$J$103*EFEITO!$Y$103</f>
        <v>820450.23904602102</v>
      </c>
      <c r="K103" s="62">
        <f>EFEITO!$L$103*EFEITO!$Z$103</f>
        <v>0</v>
      </c>
      <c r="L103" s="62">
        <f>EFEITO!$N$103*EFEITO!$AA$103</f>
        <v>0</v>
      </c>
      <c r="M103" s="62">
        <f ca="1">$J$103-EFEITO!$K$103*EFEITO!$Y$103</f>
        <v>0</v>
      </c>
      <c r="N103" s="62">
        <f>$K$103-EFEITO!$M$103*EFEITO!$Z$103</f>
        <v>0</v>
      </c>
      <c r="O103" s="62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41" t="s">
        <v>28</v>
      </c>
      <c r="B104" s="41" t="s">
        <v>35</v>
      </c>
      <c r="C104" s="41" t="s">
        <v>39</v>
      </c>
      <c r="D104" s="41" t="s">
        <v>34</v>
      </c>
      <c r="E104" s="41" t="s">
        <v>25</v>
      </c>
      <c r="F104" s="41" t="s">
        <v>25</v>
      </c>
      <c r="G104" s="41" t="s">
        <v>25</v>
      </c>
      <c r="H104" s="41" t="s">
        <v>25</v>
      </c>
      <c r="I104" s="61">
        <v>44743</v>
      </c>
      <c r="J104" s="62">
        <f ca="1">EFEITO!$J$104*EFEITO!$Y$104</f>
        <v>4903.8405092405856</v>
      </c>
      <c r="K104" s="62">
        <f>EFEITO!$L$104*EFEITO!$Z$104</f>
        <v>0</v>
      </c>
      <c r="L104" s="62">
        <f>EFEITO!$N$104*EFEITO!$AA$104</f>
        <v>0</v>
      </c>
      <c r="M104" s="62">
        <f ca="1">$J$104-EFEITO!$K$104*EFEITO!$Y$104</f>
        <v>0</v>
      </c>
      <c r="N104" s="62">
        <f>$K$104-EFEITO!$M$104*EFEITO!$Z$104</f>
        <v>0</v>
      </c>
      <c r="O104" s="62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41" t="s">
        <v>55</v>
      </c>
      <c r="B105" s="41" t="s">
        <v>35</v>
      </c>
      <c r="C105" s="41" t="s">
        <v>39</v>
      </c>
      <c r="D105" s="41" t="s">
        <v>34</v>
      </c>
      <c r="E105" s="41" t="s">
        <v>25</v>
      </c>
      <c r="F105" s="41" t="s">
        <v>25</v>
      </c>
      <c r="G105" s="41" t="s">
        <v>25</v>
      </c>
      <c r="H105" s="41" t="s">
        <v>25</v>
      </c>
      <c r="I105" s="61">
        <v>44774</v>
      </c>
      <c r="J105" s="62">
        <f ca="1">EFEITO!$J$105*EFEITO!$Y$105</f>
        <v>820450.23904602102</v>
      </c>
      <c r="K105" s="62">
        <f>EFEITO!$L$105*EFEITO!$Z$105</f>
        <v>0</v>
      </c>
      <c r="L105" s="62">
        <f>EFEITO!$N$105*EFEITO!$AA$105</f>
        <v>0</v>
      </c>
      <c r="M105" s="62">
        <f ca="1">$J$105-EFEITO!$K$105*EFEITO!$Y$105</f>
        <v>0</v>
      </c>
      <c r="N105" s="62">
        <f>$K$105-EFEITO!$M$105*EFEITO!$Z$105</f>
        <v>0</v>
      </c>
      <c r="O105" s="62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41" t="s">
        <v>55</v>
      </c>
      <c r="B106" s="41" t="s">
        <v>35</v>
      </c>
      <c r="C106" s="41" t="s">
        <v>39</v>
      </c>
      <c r="D106" s="41" t="s">
        <v>34</v>
      </c>
      <c r="E106" s="41" t="s">
        <v>25</v>
      </c>
      <c r="F106" s="41" t="s">
        <v>25</v>
      </c>
      <c r="G106" s="41" t="s">
        <v>25</v>
      </c>
      <c r="H106" s="41" t="s">
        <v>25</v>
      </c>
      <c r="I106" s="61">
        <v>44774</v>
      </c>
      <c r="J106" s="62">
        <f ca="1">EFEITO!$J$106*EFEITO!$Y$106</f>
        <v>4903.8405092405856</v>
      </c>
      <c r="K106" s="62">
        <f>EFEITO!$L$106*EFEITO!$Z$106</f>
        <v>0</v>
      </c>
      <c r="L106" s="62">
        <f>EFEITO!$N$106*EFEITO!$AA$106</f>
        <v>0</v>
      </c>
      <c r="M106" s="62">
        <f ca="1">$J$106-EFEITO!$K$106*EFEITO!$Y$106</f>
        <v>0</v>
      </c>
      <c r="N106" s="62">
        <f>$K$106-EFEITO!$M$106*EFEITO!$Z$106</f>
        <v>0</v>
      </c>
      <c r="O106" s="62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41" t="s">
        <v>21</v>
      </c>
      <c r="B107" s="41" t="s">
        <v>35</v>
      </c>
      <c r="C107" s="41" t="s">
        <v>39</v>
      </c>
      <c r="D107" s="41" t="s">
        <v>34</v>
      </c>
      <c r="E107" s="41" t="s">
        <v>25</v>
      </c>
      <c r="F107" s="41" t="s">
        <v>25</v>
      </c>
      <c r="G107" s="41" t="s">
        <v>25</v>
      </c>
      <c r="H107" s="41" t="s">
        <v>37</v>
      </c>
      <c r="I107" s="61">
        <v>44440</v>
      </c>
      <c r="J107" s="62">
        <f>EFEITO!$J$107*EFEITO!$Y$107</f>
        <v>0</v>
      </c>
      <c r="K107" s="62">
        <f ca="1">EFEITO!$L$107*EFEITO!$Z$107</f>
        <v>222857.99729826333</v>
      </c>
      <c r="L107" s="62">
        <f>EFEITO!$N$107*EFEITO!$AA$107</f>
        <v>11591.612719726858</v>
      </c>
      <c r="M107" s="62">
        <f>$J$107-EFEITO!$K$107*EFEITO!$Y$107</f>
        <v>0</v>
      </c>
      <c r="N107" s="62">
        <f ca="1">$K$107-EFEITO!$M$107*EFEITO!$Z$107</f>
        <v>0</v>
      </c>
      <c r="O107" s="62">
        <f>$L$107-EFEITO!$O$107*EFEITO!$AA$107</f>
        <v>0</v>
      </c>
      <c r="P107" s="45"/>
      <c r="Q107" s="45"/>
      <c r="R107" s="45"/>
      <c r="S107" s="45"/>
      <c r="T107" s="45"/>
      <c r="U107" s="45"/>
      <c r="V107" s="45"/>
      <c r="W107" s="45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41" t="s">
        <v>28</v>
      </c>
      <c r="B108" s="41" t="s">
        <v>35</v>
      </c>
      <c r="C108" s="41" t="s">
        <v>39</v>
      </c>
      <c r="D108" s="41" t="s">
        <v>34</v>
      </c>
      <c r="E108" s="41" t="s">
        <v>25</v>
      </c>
      <c r="F108" s="41" t="s">
        <v>25</v>
      </c>
      <c r="G108" s="41" t="s">
        <v>25</v>
      </c>
      <c r="H108" s="41" t="s">
        <v>37</v>
      </c>
      <c r="I108" s="61">
        <v>44440</v>
      </c>
      <c r="J108" s="62">
        <f>EFEITO!$J$108*EFEITO!$Y$108</f>
        <v>0</v>
      </c>
      <c r="K108" s="62">
        <f ca="1">EFEITO!$L$108*EFEITO!$Z$108</f>
        <v>1552.36759704014</v>
      </c>
      <c r="L108" s="62">
        <f>EFEITO!$N$108*EFEITO!$AA$108</f>
        <v>80.743990351216027</v>
      </c>
      <c r="M108" s="62">
        <f>$J$108-EFEITO!$K$108*EFEITO!$Y$108</f>
        <v>0</v>
      </c>
      <c r="N108" s="62">
        <f ca="1">$K$108-EFEITO!$M$108*EFEITO!$Z$108</f>
        <v>0</v>
      </c>
      <c r="O108" s="62">
        <f>$L$108-EFEITO!$O$108*EFEITO!$AA$108</f>
        <v>0</v>
      </c>
      <c r="P108" s="45"/>
      <c r="Q108" s="45"/>
      <c r="R108" s="45"/>
      <c r="S108" s="45"/>
      <c r="T108" s="45"/>
      <c r="U108" s="45"/>
      <c r="V108" s="45"/>
      <c r="W108" s="45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41" t="s">
        <v>21</v>
      </c>
      <c r="B109" s="41" t="s">
        <v>35</v>
      </c>
      <c r="C109" s="41" t="s">
        <v>39</v>
      </c>
      <c r="D109" s="41" t="s">
        <v>34</v>
      </c>
      <c r="E109" s="41" t="s">
        <v>25</v>
      </c>
      <c r="F109" s="41" t="s">
        <v>25</v>
      </c>
      <c r="G109" s="41" t="s">
        <v>25</v>
      </c>
      <c r="H109" s="41" t="s">
        <v>37</v>
      </c>
      <c r="I109" s="61">
        <v>44470</v>
      </c>
      <c r="J109" s="62">
        <f>EFEITO!$J$109*EFEITO!$Y$109</f>
        <v>0</v>
      </c>
      <c r="K109" s="62">
        <f ca="1">EFEITO!$L$109*EFEITO!$Z$109</f>
        <v>177195.80050140075</v>
      </c>
      <c r="L109" s="62">
        <f>EFEITO!$N$109*EFEITO!$AA$109</f>
        <v>9216.5644485499706</v>
      </c>
      <c r="M109" s="62">
        <f>$J$109-EFEITO!$K$109*EFEITO!$Y$109</f>
        <v>0</v>
      </c>
      <c r="N109" s="62">
        <f ca="1">$K$109-EFEITO!$M$109*EFEITO!$Z$109</f>
        <v>0</v>
      </c>
      <c r="O109" s="62">
        <f>$L$109-EFEITO!$O$109*EFEITO!$AA$109</f>
        <v>0</v>
      </c>
      <c r="P109" s="45"/>
      <c r="Q109" s="45"/>
      <c r="R109" s="45"/>
      <c r="S109" s="45"/>
      <c r="T109" s="45"/>
      <c r="U109" s="45"/>
      <c r="V109" s="45"/>
      <c r="W109" s="45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41" t="s">
        <v>28</v>
      </c>
      <c r="B110" s="41" t="s">
        <v>35</v>
      </c>
      <c r="C110" s="41" t="s">
        <v>39</v>
      </c>
      <c r="D110" s="41" t="s">
        <v>34</v>
      </c>
      <c r="E110" s="41" t="s">
        <v>25</v>
      </c>
      <c r="F110" s="41" t="s">
        <v>25</v>
      </c>
      <c r="G110" s="41" t="s">
        <v>25</v>
      </c>
      <c r="H110" s="41" t="s">
        <v>37</v>
      </c>
      <c r="I110" s="61">
        <v>44470</v>
      </c>
      <c r="J110" s="62">
        <f>EFEITO!$J$110*EFEITO!$Y$110</f>
        <v>0</v>
      </c>
      <c r="K110" s="62">
        <f ca="1">EFEITO!$L$110*EFEITO!$Z$110</f>
        <v>1507.7140451794253</v>
      </c>
      <c r="L110" s="62">
        <f>EFEITO!$N$110*EFEITO!$AA$110</f>
        <v>78.421405180368865</v>
      </c>
      <c r="M110" s="62">
        <f>$J$110-EFEITO!$K$110*EFEITO!$Y$110</f>
        <v>0</v>
      </c>
      <c r="N110" s="62">
        <f ca="1">$K$110-EFEITO!$M$110*EFEITO!$Z$110</f>
        <v>0</v>
      </c>
      <c r="O110" s="62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41" t="s">
        <v>21</v>
      </c>
      <c r="B111" s="41" t="s">
        <v>35</v>
      </c>
      <c r="C111" s="41" t="s">
        <v>39</v>
      </c>
      <c r="D111" s="41" t="s">
        <v>34</v>
      </c>
      <c r="E111" s="41" t="s">
        <v>25</v>
      </c>
      <c r="F111" s="41" t="s">
        <v>25</v>
      </c>
      <c r="G111" s="41" t="s">
        <v>25</v>
      </c>
      <c r="H111" s="41" t="s">
        <v>37</v>
      </c>
      <c r="I111" s="61">
        <v>44501</v>
      </c>
      <c r="J111" s="62">
        <f>EFEITO!$J$111*EFEITO!$Y$111</f>
        <v>0</v>
      </c>
      <c r="K111" s="62">
        <f ca="1">EFEITO!$L$111*EFEITO!$Z$111</f>
        <v>194558.15213665509</v>
      </c>
      <c r="L111" s="62">
        <f>EFEITO!$N$111*EFEITO!$AA$111</f>
        <v>10119.640212038192</v>
      </c>
      <c r="M111" s="62">
        <f>$J$111-EFEITO!$K$111*EFEITO!$Y$111</f>
        <v>0</v>
      </c>
      <c r="N111" s="62">
        <f ca="1">$K$111-EFEITO!$M$111*EFEITO!$Z$111</f>
        <v>0</v>
      </c>
      <c r="O111" s="62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41" t="s">
        <v>28</v>
      </c>
      <c r="B112" s="41" t="s">
        <v>35</v>
      </c>
      <c r="C112" s="41" t="s">
        <v>39</v>
      </c>
      <c r="D112" s="41" t="s">
        <v>34</v>
      </c>
      <c r="E112" s="41" t="s">
        <v>25</v>
      </c>
      <c r="F112" s="41" t="s">
        <v>25</v>
      </c>
      <c r="G112" s="41" t="s">
        <v>25</v>
      </c>
      <c r="H112" s="41" t="s">
        <v>37</v>
      </c>
      <c r="I112" s="61">
        <v>44501</v>
      </c>
      <c r="J112" s="62">
        <f>EFEITO!$J$112*EFEITO!$Y$112</f>
        <v>0</v>
      </c>
      <c r="K112" s="62">
        <f ca="1">EFEITO!$L$112*EFEITO!$Z$112</f>
        <v>1431.5403390640886</v>
      </c>
      <c r="L112" s="62">
        <f>EFEITO!$N$112*EFEITO!$AA$112</f>
        <v>74.45934812421784</v>
      </c>
      <c r="M112" s="62">
        <f>$J$112-EFEITO!$K$112*EFEITO!$Y$112</f>
        <v>0</v>
      </c>
      <c r="N112" s="62">
        <f ca="1">$K$112-EFEITO!$M$112*EFEITO!$Z$112</f>
        <v>0</v>
      </c>
      <c r="O112" s="62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41" t="s">
        <v>21</v>
      </c>
      <c r="B113" s="41" t="s">
        <v>35</v>
      </c>
      <c r="C113" s="41" t="s">
        <v>39</v>
      </c>
      <c r="D113" s="41" t="s">
        <v>34</v>
      </c>
      <c r="E113" s="41" t="s">
        <v>25</v>
      </c>
      <c r="F113" s="41" t="s">
        <v>25</v>
      </c>
      <c r="G113" s="41" t="s">
        <v>25</v>
      </c>
      <c r="H113" s="41" t="s">
        <v>37</v>
      </c>
      <c r="I113" s="61">
        <v>44531</v>
      </c>
      <c r="J113" s="62">
        <f>EFEITO!$J$113*EFEITO!$Y$113</f>
        <v>0</v>
      </c>
      <c r="K113" s="62">
        <f ca="1">EFEITO!$L$113*EFEITO!$Z$113</f>
        <v>219981.78322252908</v>
      </c>
      <c r="L113" s="62">
        <f>EFEITO!$N$113*EFEITO!$AA$113</f>
        <v>11442.010910192877</v>
      </c>
      <c r="M113" s="62">
        <f>$J$113-EFEITO!$K$113*EFEITO!$Y$113</f>
        <v>0</v>
      </c>
      <c r="N113" s="62">
        <f ca="1">$K$113-EFEITO!$M$113*EFEITO!$Z$113</f>
        <v>0</v>
      </c>
      <c r="O113" s="62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41" t="s">
        <v>21</v>
      </c>
      <c r="B114" s="41" t="s">
        <v>35</v>
      </c>
      <c r="C114" s="41" t="s">
        <v>39</v>
      </c>
      <c r="D114" s="41" t="s">
        <v>34</v>
      </c>
      <c r="E114" s="41" t="s">
        <v>25</v>
      </c>
      <c r="F114" s="41" t="s">
        <v>25</v>
      </c>
      <c r="G114" s="41" t="s">
        <v>25</v>
      </c>
      <c r="H114" s="41" t="s">
        <v>37</v>
      </c>
      <c r="I114" s="61">
        <v>44562</v>
      </c>
      <c r="J114" s="62">
        <f>EFEITO!$J$114*EFEITO!$Y$114</f>
        <v>0</v>
      </c>
      <c r="K114" s="62">
        <f ca="1">EFEITO!$L$114*EFEITO!$Z$114</f>
        <v>184038.30065417496</v>
      </c>
      <c r="L114" s="62">
        <f>EFEITO!$N$114*EFEITO!$AA$114</f>
        <v>9572.4664703180224</v>
      </c>
      <c r="M114" s="62">
        <f>$J$114-EFEITO!$K$114*EFEITO!$Y$114</f>
        <v>0</v>
      </c>
      <c r="N114" s="62">
        <f ca="1">$K$114-EFEITO!$M$114*EFEITO!$Z$114</f>
        <v>0</v>
      </c>
      <c r="O114" s="62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41" t="s">
        <v>28</v>
      </c>
      <c r="B115" s="41" t="s">
        <v>35</v>
      </c>
      <c r="C115" s="41" t="s">
        <v>39</v>
      </c>
      <c r="D115" s="41" t="s">
        <v>34</v>
      </c>
      <c r="E115" s="41" t="s">
        <v>25</v>
      </c>
      <c r="F115" s="41" t="s">
        <v>25</v>
      </c>
      <c r="G115" s="41" t="s">
        <v>25</v>
      </c>
      <c r="H115" s="41" t="s">
        <v>37</v>
      </c>
      <c r="I115" s="61">
        <v>44562</v>
      </c>
      <c r="J115" s="62">
        <f>EFEITO!$J$115*EFEITO!$Y$115</f>
        <v>0</v>
      </c>
      <c r="K115" s="62">
        <f ca="1">EFEITO!$L$115*EFEITO!$Z$115</f>
        <v>2180.1440026113642</v>
      </c>
      <c r="L115" s="62">
        <f>EFEITO!$N$115*EFEITO!$AA$115</f>
        <v>113.39680540018495</v>
      </c>
      <c r="M115" s="62">
        <f>$J$115-EFEITO!$K$115*EFEITO!$Y$115</f>
        <v>0</v>
      </c>
      <c r="N115" s="62">
        <f ca="1">$K$115-EFEITO!$M$115*EFEITO!$Z$115</f>
        <v>0</v>
      </c>
      <c r="O115" s="62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41" t="s">
        <v>21</v>
      </c>
      <c r="B116" s="41" t="s">
        <v>35</v>
      </c>
      <c r="C116" s="41" t="s">
        <v>39</v>
      </c>
      <c r="D116" s="41" t="s">
        <v>34</v>
      </c>
      <c r="E116" s="41" t="s">
        <v>25</v>
      </c>
      <c r="F116" s="41" t="s">
        <v>25</v>
      </c>
      <c r="G116" s="41" t="s">
        <v>25</v>
      </c>
      <c r="H116" s="41" t="s">
        <v>37</v>
      </c>
      <c r="I116" s="61">
        <v>44593</v>
      </c>
      <c r="J116" s="62">
        <f>EFEITO!$J$116*EFEITO!$Y$116</f>
        <v>0</v>
      </c>
      <c r="K116" s="62">
        <f ca="1">EFEITO!$L$116*EFEITO!$Z$116</f>
        <v>224617.87257747975</v>
      </c>
      <c r="L116" s="62">
        <f>EFEITO!$N$116*EFEITO!$AA$116</f>
        <v>11683.149899989658</v>
      </c>
      <c r="M116" s="62">
        <f>$J$116-EFEITO!$K$116*EFEITO!$Y$116</f>
        <v>0</v>
      </c>
      <c r="N116" s="62">
        <f ca="1">$K$116-EFEITO!$M$116*EFEITO!$Z$116</f>
        <v>0</v>
      </c>
      <c r="O116" s="62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41" t="s">
        <v>21</v>
      </c>
      <c r="B117" s="41" t="s">
        <v>35</v>
      </c>
      <c r="C117" s="41" t="s">
        <v>39</v>
      </c>
      <c r="D117" s="41" t="s">
        <v>34</v>
      </c>
      <c r="E117" s="41" t="s">
        <v>25</v>
      </c>
      <c r="F117" s="41" t="s">
        <v>25</v>
      </c>
      <c r="G117" s="41" t="s">
        <v>25</v>
      </c>
      <c r="H117" s="41" t="s">
        <v>37</v>
      </c>
      <c r="I117" s="61">
        <v>44621</v>
      </c>
      <c r="J117" s="62">
        <f>EFEITO!$J$117*EFEITO!$Y$117</f>
        <v>0</v>
      </c>
      <c r="K117" s="62">
        <f ca="1">EFEITO!$L$117*EFEITO!$Z$117</f>
        <v>212561.4135750868</v>
      </c>
      <c r="L117" s="62">
        <f>EFEITO!$N$117*EFEITO!$AA$117</f>
        <v>11056.051903860925</v>
      </c>
      <c r="M117" s="62">
        <f>$J$117-EFEITO!$K$117*EFEITO!$Y$117</f>
        <v>0</v>
      </c>
      <c r="N117" s="62">
        <f ca="1">$K$117-EFEITO!$M$117*EFEITO!$Z$117</f>
        <v>0</v>
      </c>
      <c r="O117" s="62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41" t="s">
        <v>28</v>
      </c>
      <c r="B118" s="41" t="s">
        <v>35</v>
      </c>
      <c r="C118" s="41" t="s">
        <v>39</v>
      </c>
      <c r="D118" s="41" t="s">
        <v>34</v>
      </c>
      <c r="E118" s="41" t="s">
        <v>25</v>
      </c>
      <c r="F118" s="41" t="s">
        <v>25</v>
      </c>
      <c r="G118" s="41" t="s">
        <v>25</v>
      </c>
      <c r="H118" s="41" t="s">
        <v>37</v>
      </c>
      <c r="I118" s="61">
        <v>44621</v>
      </c>
      <c r="J118" s="62">
        <f>EFEITO!$J$118*EFEITO!$Y$118</f>
        <v>0</v>
      </c>
      <c r="K118" s="62">
        <f ca="1">EFEITO!$L$118*EFEITO!$Z$118</f>
        <v>1174.1257459846745</v>
      </c>
      <c r="L118" s="62">
        <f>EFEITO!$N$118*EFEITO!$AA$118</f>
        <v>61.070327727569484</v>
      </c>
      <c r="M118" s="62">
        <f>$J$118-EFEITO!$K$118*EFEITO!$Y$118</f>
        <v>0</v>
      </c>
      <c r="N118" s="62">
        <f ca="1">$K$118-EFEITO!$M$118*EFEITO!$Z$118</f>
        <v>0</v>
      </c>
      <c r="O118" s="62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41" t="s">
        <v>21</v>
      </c>
      <c r="B119" s="41" t="s">
        <v>35</v>
      </c>
      <c r="C119" s="41" t="s">
        <v>39</v>
      </c>
      <c r="D119" s="41" t="s">
        <v>34</v>
      </c>
      <c r="E119" s="41" t="s">
        <v>25</v>
      </c>
      <c r="F119" s="41" t="s">
        <v>25</v>
      </c>
      <c r="G119" s="41" t="s">
        <v>25</v>
      </c>
      <c r="H119" s="41" t="s">
        <v>37</v>
      </c>
      <c r="I119" s="61">
        <v>44652</v>
      </c>
      <c r="J119" s="62">
        <f>EFEITO!$J$119*EFEITO!$Y$119</f>
        <v>0</v>
      </c>
      <c r="K119" s="62">
        <f ca="1">EFEITO!$L$119*EFEITO!$Z$119</f>
        <v>248717.65718465959</v>
      </c>
      <c r="L119" s="62">
        <f>EFEITO!$N$119*EFEITO!$AA$119</f>
        <v>12936.662778961581</v>
      </c>
      <c r="M119" s="62">
        <f>$J$119-EFEITO!$K$119*EFEITO!$Y$119</f>
        <v>0</v>
      </c>
      <c r="N119" s="62">
        <f ca="1">$K$119-EFEITO!$M$119*EFEITO!$Z$119</f>
        <v>0</v>
      </c>
      <c r="O119" s="62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41" t="s">
        <v>28</v>
      </c>
      <c r="B120" s="41" t="s">
        <v>35</v>
      </c>
      <c r="C120" s="41" t="s">
        <v>39</v>
      </c>
      <c r="D120" s="41" t="s">
        <v>34</v>
      </c>
      <c r="E120" s="41" t="s">
        <v>25</v>
      </c>
      <c r="F120" s="41" t="s">
        <v>25</v>
      </c>
      <c r="G120" s="41" t="s">
        <v>25</v>
      </c>
      <c r="H120" s="41" t="s">
        <v>37</v>
      </c>
      <c r="I120" s="61">
        <v>44652</v>
      </c>
      <c r="J120" s="62">
        <f>EFEITO!$J$120*EFEITO!$Y$120</f>
        <v>0</v>
      </c>
      <c r="K120" s="62">
        <f ca="1">EFEITO!$L$120*EFEITO!$Z$120</f>
        <v>1053.2984880086231</v>
      </c>
      <c r="L120" s="62">
        <f>EFEITO!$N$120*EFEITO!$AA$120</f>
        <v>54.78568550057129</v>
      </c>
      <c r="M120" s="62">
        <f>$J$120-EFEITO!$K$120*EFEITO!$Y$120</f>
        <v>0</v>
      </c>
      <c r="N120" s="62">
        <f ca="1">$K$120-EFEITO!$M$120*EFEITO!$Z$120</f>
        <v>0</v>
      </c>
      <c r="O120" s="62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41" t="s">
        <v>21</v>
      </c>
      <c r="B121" s="41" t="s">
        <v>35</v>
      </c>
      <c r="C121" s="41" t="s">
        <v>39</v>
      </c>
      <c r="D121" s="41" t="s">
        <v>34</v>
      </c>
      <c r="E121" s="41" t="s">
        <v>25</v>
      </c>
      <c r="F121" s="41" t="s">
        <v>25</v>
      </c>
      <c r="G121" s="41" t="s">
        <v>25</v>
      </c>
      <c r="H121" s="41" t="s">
        <v>37</v>
      </c>
      <c r="I121" s="61">
        <v>44682</v>
      </c>
      <c r="J121" s="62">
        <f>EFEITO!$J$121*EFEITO!$Y$121</f>
        <v>0</v>
      </c>
      <c r="K121" s="62">
        <f ca="1">EFEITO!$L$121*EFEITO!$Z$121</f>
        <v>259279.53553947923</v>
      </c>
      <c r="L121" s="62">
        <f>EFEITO!$N$121*EFEITO!$AA$121</f>
        <v>13486.022483195489</v>
      </c>
      <c r="M121" s="62">
        <f>$J$121-EFEITO!$K$121*EFEITO!$Y$121</f>
        <v>0</v>
      </c>
      <c r="N121" s="62">
        <f ca="1">$K$121-EFEITO!$M$121*EFEITO!$Z$121</f>
        <v>0</v>
      </c>
      <c r="O121" s="62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41" t="s">
        <v>28</v>
      </c>
      <c r="B122" s="41" t="s">
        <v>35</v>
      </c>
      <c r="C122" s="41" t="s">
        <v>39</v>
      </c>
      <c r="D122" s="41" t="s">
        <v>34</v>
      </c>
      <c r="E122" s="41" t="s">
        <v>25</v>
      </c>
      <c r="F122" s="41" t="s">
        <v>25</v>
      </c>
      <c r="G122" s="41" t="s">
        <v>25</v>
      </c>
      <c r="H122" s="41" t="s">
        <v>37</v>
      </c>
      <c r="I122" s="61">
        <v>44682</v>
      </c>
      <c r="J122" s="62">
        <f>EFEITO!$J$122*EFEITO!$Y$122</f>
        <v>0</v>
      </c>
      <c r="K122" s="62">
        <f ca="1">EFEITO!$L$122*EFEITO!$Z$122</f>
        <v>1465.6871728399294</v>
      </c>
      <c r="L122" s="62">
        <f>EFEITO!$N$122*EFEITO!$AA$122</f>
        <v>76.235442666630377</v>
      </c>
      <c r="M122" s="62">
        <f>$J$122-EFEITO!$K$122*EFEITO!$Y$122</f>
        <v>0</v>
      </c>
      <c r="N122" s="62">
        <f ca="1">$K$122-EFEITO!$M$122*EFEITO!$Z$122</f>
        <v>0</v>
      </c>
      <c r="O122" s="62">
        <f>$L$122-EFEITO!$O$122*EFEITO!$AA$122</f>
        <v>0</v>
      </c>
      <c r="P122" s="45"/>
      <c r="Q122" s="45"/>
      <c r="R122" s="45"/>
      <c r="S122" s="45"/>
      <c r="T122" s="45"/>
      <c r="U122" s="45"/>
      <c r="V122" s="45"/>
      <c r="W122" s="45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41" t="s">
        <v>21</v>
      </c>
      <c r="B123" s="41" t="s">
        <v>35</v>
      </c>
      <c r="C123" s="41" t="s">
        <v>39</v>
      </c>
      <c r="D123" s="41" t="s">
        <v>34</v>
      </c>
      <c r="E123" s="41" t="s">
        <v>25</v>
      </c>
      <c r="F123" s="41" t="s">
        <v>25</v>
      </c>
      <c r="G123" s="41" t="s">
        <v>25</v>
      </c>
      <c r="H123" s="41" t="s">
        <v>37</v>
      </c>
      <c r="I123" s="61">
        <v>44713</v>
      </c>
      <c r="J123" s="62">
        <f>EFEITO!$J$123*EFEITO!$Y$123</f>
        <v>0</v>
      </c>
      <c r="K123" s="62">
        <f ca="1">EFEITO!$L$123*EFEITO!$Z$123</f>
        <v>238103.24523941558</v>
      </c>
      <c r="L123" s="62">
        <f>EFEITO!$N$123*EFEITO!$AA$123</f>
        <v>12384.570621585501</v>
      </c>
      <c r="M123" s="62">
        <f>$J$123-EFEITO!$K$123*EFEITO!$Y$123</f>
        <v>0</v>
      </c>
      <c r="N123" s="62">
        <f ca="1">$K$123-EFEITO!$M$123*EFEITO!$Z$123</f>
        <v>0</v>
      </c>
      <c r="O123" s="62">
        <f>$L$123-EFEITO!$O$123*EFEITO!$AA$123</f>
        <v>0</v>
      </c>
      <c r="P123" s="45"/>
      <c r="Q123" s="45"/>
      <c r="R123" s="45"/>
      <c r="S123" s="45"/>
      <c r="T123" s="45"/>
      <c r="U123" s="45"/>
      <c r="V123" s="45"/>
      <c r="W123" s="4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41" t="s">
        <v>28</v>
      </c>
      <c r="B124" s="41" t="s">
        <v>35</v>
      </c>
      <c r="C124" s="41" t="s">
        <v>39</v>
      </c>
      <c r="D124" s="41" t="s">
        <v>34</v>
      </c>
      <c r="E124" s="41" t="s">
        <v>25</v>
      </c>
      <c r="F124" s="41" t="s">
        <v>25</v>
      </c>
      <c r="G124" s="41" t="s">
        <v>25</v>
      </c>
      <c r="H124" s="41" t="s">
        <v>37</v>
      </c>
      <c r="I124" s="61">
        <v>44713</v>
      </c>
      <c r="J124" s="62">
        <f>EFEITO!$J$124*EFEITO!$Y$124</f>
        <v>0</v>
      </c>
      <c r="K124" s="62">
        <f ca="1">EFEITO!$L$124*EFEITO!$Z$124</f>
        <v>1363.2466715124074</v>
      </c>
      <c r="L124" s="62">
        <f>EFEITO!$N$124*EFEITO!$AA$124</f>
        <v>70.907159039392766</v>
      </c>
      <c r="M124" s="62">
        <f>$J$124-EFEITO!$K$124*EFEITO!$Y$124</f>
        <v>0</v>
      </c>
      <c r="N124" s="62">
        <f ca="1">$K$124-EFEITO!$M$124*EFEITO!$Z$124</f>
        <v>0</v>
      </c>
      <c r="O124" s="62">
        <f>$L$124-EFEITO!$O$124*EFEITO!$AA$124</f>
        <v>0</v>
      </c>
      <c r="P124" s="45"/>
      <c r="Q124" s="45"/>
      <c r="R124" s="45"/>
      <c r="S124" s="45"/>
      <c r="T124" s="45"/>
      <c r="U124" s="45"/>
      <c r="V124" s="45"/>
      <c r="W124" s="4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41" t="s">
        <v>21</v>
      </c>
      <c r="B125" s="41" t="s">
        <v>35</v>
      </c>
      <c r="C125" s="41" t="s">
        <v>39</v>
      </c>
      <c r="D125" s="41" t="s">
        <v>34</v>
      </c>
      <c r="E125" s="41" t="s">
        <v>25</v>
      </c>
      <c r="F125" s="41" t="s">
        <v>25</v>
      </c>
      <c r="G125" s="41" t="s">
        <v>25</v>
      </c>
      <c r="H125" s="41" t="s">
        <v>37</v>
      </c>
      <c r="I125" s="61">
        <v>44743</v>
      </c>
      <c r="J125" s="62">
        <f>EFEITO!$J$125*EFEITO!$Y$125</f>
        <v>0</v>
      </c>
      <c r="K125" s="62">
        <f ca="1">EFEITO!$L$125*EFEITO!$Z$125</f>
        <v>306735.75444933405</v>
      </c>
      <c r="L125" s="62">
        <f>EFEITO!$N$125*EFEITO!$AA$125</f>
        <v>15954.384029177589</v>
      </c>
      <c r="M125" s="62">
        <f>$J$125-EFEITO!$K$125*EFEITO!$Y$125</f>
        <v>0</v>
      </c>
      <c r="N125" s="62">
        <f ca="1">$K$125-EFEITO!$M$125*EFEITO!$Z$125</f>
        <v>0</v>
      </c>
      <c r="O125" s="62">
        <f>$L$125-EFEITO!$O$125*EFEITO!$AA$125</f>
        <v>0</v>
      </c>
      <c r="P125" s="45"/>
      <c r="Q125" s="45"/>
      <c r="R125" s="45"/>
      <c r="S125" s="45"/>
      <c r="T125" s="45"/>
      <c r="U125" s="45"/>
      <c r="V125" s="45"/>
      <c r="W125" s="4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41" t="s">
        <v>28</v>
      </c>
      <c r="B126" s="41" t="s">
        <v>35</v>
      </c>
      <c r="C126" s="41" t="s">
        <v>39</v>
      </c>
      <c r="D126" s="41" t="s">
        <v>34</v>
      </c>
      <c r="E126" s="41" t="s">
        <v>25</v>
      </c>
      <c r="F126" s="41" t="s">
        <v>25</v>
      </c>
      <c r="G126" s="41" t="s">
        <v>25</v>
      </c>
      <c r="H126" s="41" t="s">
        <v>37</v>
      </c>
      <c r="I126" s="61">
        <v>44743</v>
      </c>
      <c r="J126" s="62">
        <f>EFEITO!$J$126*EFEITO!$Y$126</f>
        <v>0</v>
      </c>
      <c r="K126" s="62">
        <f ca="1">EFEITO!$L$126*EFEITO!$Z$126</f>
        <v>722.33686833509057</v>
      </c>
      <c r="L126" s="62">
        <f>EFEITO!$N$126*EFEITO!$AA$126</f>
        <v>37.571230704880563</v>
      </c>
      <c r="M126" s="62">
        <f>$J$126-EFEITO!$K$126*EFEITO!$Y$126</f>
        <v>0</v>
      </c>
      <c r="N126" s="62">
        <f ca="1">$K$126-EFEITO!$M$126*EFEITO!$Z$126</f>
        <v>0</v>
      </c>
      <c r="O126" s="62">
        <f>$L$126-EFEITO!$O$126*EFEITO!$AA$126</f>
        <v>0</v>
      </c>
      <c r="P126" s="45"/>
      <c r="Q126" s="45"/>
      <c r="R126" s="45"/>
      <c r="S126" s="45"/>
      <c r="T126" s="45"/>
      <c r="U126" s="45"/>
      <c r="V126" s="45"/>
      <c r="W126" s="45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41" t="s">
        <v>55</v>
      </c>
      <c r="B127" s="41" t="s">
        <v>35</v>
      </c>
      <c r="C127" s="41" t="s">
        <v>39</v>
      </c>
      <c r="D127" s="41" t="s">
        <v>34</v>
      </c>
      <c r="E127" s="41" t="s">
        <v>25</v>
      </c>
      <c r="F127" s="41" t="s">
        <v>25</v>
      </c>
      <c r="G127" s="41" t="s">
        <v>25</v>
      </c>
      <c r="H127" s="41" t="s">
        <v>37</v>
      </c>
      <c r="I127" s="61">
        <v>44774</v>
      </c>
      <c r="J127" s="62">
        <f>EFEITO!$J$127*EFEITO!$Y$127</f>
        <v>0</v>
      </c>
      <c r="K127" s="62">
        <f ca="1">EFEITO!$L$127*EFEITO!$Z$127</f>
        <v>306735.75444933405</v>
      </c>
      <c r="L127" s="62">
        <f>EFEITO!$N$127*EFEITO!$AA$127</f>
        <v>15954.384029177589</v>
      </c>
      <c r="M127" s="62">
        <f>$J$127-EFEITO!$K$127*EFEITO!$Y$127</f>
        <v>0</v>
      </c>
      <c r="N127" s="62">
        <f ca="1">$K$127-EFEITO!$M$127*EFEITO!$Z$127</f>
        <v>0</v>
      </c>
      <c r="O127" s="62">
        <f>$L$127-EFEITO!$O$127*EFEITO!$AA$127</f>
        <v>0</v>
      </c>
      <c r="P127" s="45"/>
      <c r="Q127" s="45"/>
      <c r="R127" s="45"/>
      <c r="S127" s="45"/>
      <c r="T127" s="45"/>
      <c r="U127" s="45"/>
      <c r="V127" s="45"/>
      <c r="W127" s="4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41" t="s">
        <v>55</v>
      </c>
      <c r="B128" s="41" t="s">
        <v>35</v>
      </c>
      <c r="C128" s="41" t="s">
        <v>39</v>
      </c>
      <c r="D128" s="41" t="s">
        <v>34</v>
      </c>
      <c r="E128" s="41" t="s">
        <v>25</v>
      </c>
      <c r="F128" s="41" t="s">
        <v>25</v>
      </c>
      <c r="G128" s="41" t="s">
        <v>25</v>
      </c>
      <c r="H128" s="41" t="s">
        <v>37</v>
      </c>
      <c r="I128" s="61">
        <v>44774</v>
      </c>
      <c r="J128" s="62">
        <f>EFEITO!$J$128*EFEITO!$Y$128</f>
        <v>0</v>
      </c>
      <c r="K128" s="62">
        <f ca="1">EFEITO!$L$128*EFEITO!$Z$128</f>
        <v>722.33686833509057</v>
      </c>
      <c r="L128" s="62">
        <f>EFEITO!$N$128*EFEITO!$AA$128</f>
        <v>37.571230704880563</v>
      </c>
      <c r="M128" s="62">
        <f>$J$128-EFEITO!$K$128*EFEITO!$Y$128</f>
        <v>0</v>
      </c>
      <c r="N128" s="62">
        <f ca="1">$K$128-EFEITO!$M$128*EFEITO!$Z$128</f>
        <v>0</v>
      </c>
      <c r="O128" s="62">
        <f>$L$128-EFEITO!$O$128*EFEITO!$AA$128</f>
        <v>0</v>
      </c>
      <c r="P128" s="45"/>
      <c r="Q128" s="45"/>
      <c r="R128" s="45"/>
      <c r="S128" s="45"/>
      <c r="T128" s="45"/>
      <c r="U128" s="45"/>
      <c r="V128" s="45"/>
      <c r="W128" s="45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41" t="s">
        <v>21</v>
      </c>
      <c r="B129" s="41" t="s">
        <v>35</v>
      </c>
      <c r="C129" s="41" t="s">
        <v>39</v>
      </c>
      <c r="D129" s="41" t="s">
        <v>45</v>
      </c>
      <c r="E129" s="41" t="s">
        <v>25</v>
      </c>
      <c r="F129" s="41" t="s">
        <v>25</v>
      </c>
      <c r="G129" s="41" t="s">
        <v>25</v>
      </c>
      <c r="H129" s="41" t="s">
        <v>38</v>
      </c>
      <c r="I129" s="61">
        <v>44440</v>
      </c>
      <c r="J129" s="62">
        <f>EFEITO!$J$129*EFEITO!$Y$129</f>
        <v>0</v>
      </c>
      <c r="K129" s="62">
        <f ca="1">EFEITO!$L$129*EFEITO!$Z$129</f>
        <v>177.12615998992533</v>
      </c>
      <c r="L129" s="62">
        <f>EFEITO!$N$129*EFEITO!$AA$129</f>
        <v>256.03085942162244</v>
      </c>
      <c r="M129" s="62">
        <f>$J$129-EFEITO!$K$129*EFEITO!$Y$129</f>
        <v>0</v>
      </c>
      <c r="N129" s="62">
        <f ca="1">$K$129-EFEITO!$M$129*EFEITO!$Z$129</f>
        <v>0</v>
      </c>
      <c r="O129" s="62">
        <f>$L$129-EFEITO!$O$129*EFEITO!$AA$129</f>
        <v>0</v>
      </c>
      <c r="P129" s="45"/>
      <c r="Q129" s="45"/>
      <c r="R129" s="45"/>
      <c r="S129" s="45"/>
      <c r="T129" s="45"/>
      <c r="U129" s="45"/>
      <c r="V129" s="45"/>
      <c r="W129" s="4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41" t="s">
        <v>21</v>
      </c>
      <c r="B130" s="41" t="s">
        <v>35</v>
      </c>
      <c r="C130" s="41" t="s">
        <v>39</v>
      </c>
      <c r="D130" s="41" t="s">
        <v>45</v>
      </c>
      <c r="E130" s="41" t="s">
        <v>25</v>
      </c>
      <c r="F130" s="41" t="s">
        <v>25</v>
      </c>
      <c r="G130" s="41" t="s">
        <v>25</v>
      </c>
      <c r="H130" s="41" t="s">
        <v>38</v>
      </c>
      <c r="I130" s="61">
        <v>44470</v>
      </c>
      <c r="J130" s="62">
        <f>EFEITO!$J$130*EFEITO!$Y$130</f>
        <v>0</v>
      </c>
      <c r="K130" s="62">
        <f ca="1">EFEITO!$L$130*EFEITO!$Z$130</f>
        <v>193.00513271047356</v>
      </c>
      <c r="L130" s="62">
        <f>EFEITO!$N$130*EFEITO!$AA$130</f>
        <v>278.98346581587668</v>
      </c>
      <c r="M130" s="62">
        <f>$J$130-EFEITO!$K$130*EFEITO!$Y$130</f>
        <v>0</v>
      </c>
      <c r="N130" s="62">
        <f ca="1">$K$130-EFEITO!$M$130*EFEITO!$Z$130</f>
        <v>0</v>
      </c>
      <c r="O130" s="62">
        <f>$L$130-EFEITO!$O$130*EFEITO!$AA$130</f>
        <v>0</v>
      </c>
      <c r="P130" s="45"/>
      <c r="Q130" s="45"/>
      <c r="R130" s="45"/>
      <c r="S130" s="45"/>
      <c r="T130" s="45"/>
      <c r="U130" s="45"/>
      <c r="V130" s="45"/>
      <c r="W130" s="45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41" t="s">
        <v>21</v>
      </c>
      <c r="B131" s="41" t="s">
        <v>35</v>
      </c>
      <c r="C131" s="41" t="s">
        <v>39</v>
      </c>
      <c r="D131" s="41" t="s">
        <v>45</v>
      </c>
      <c r="E131" s="41" t="s">
        <v>25</v>
      </c>
      <c r="F131" s="41" t="s">
        <v>25</v>
      </c>
      <c r="G131" s="41" t="s">
        <v>25</v>
      </c>
      <c r="H131" s="41" t="s">
        <v>38</v>
      </c>
      <c r="I131" s="61">
        <v>44501</v>
      </c>
      <c r="J131" s="62">
        <f>EFEITO!$J$131*EFEITO!$Y$131</f>
        <v>0</v>
      </c>
      <c r="K131" s="62">
        <f ca="1">EFEITO!$L$131*EFEITO!$Z$131</f>
        <v>196.78584050108029</v>
      </c>
      <c r="L131" s="62">
        <f>EFEITO!$N$131*EFEITO!$AA$131</f>
        <v>284.44837210022297</v>
      </c>
      <c r="M131" s="62">
        <f>$J$131-EFEITO!$K$131*EFEITO!$Y$131</f>
        <v>0</v>
      </c>
      <c r="N131" s="62">
        <f ca="1">$K$131-EFEITO!$M$131*EFEITO!$Z$131</f>
        <v>0</v>
      </c>
      <c r="O131" s="62">
        <f>$L$131-EFEITO!$O$131*EFEITO!$AA$131</f>
        <v>0</v>
      </c>
      <c r="P131" s="45"/>
      <c r="Q131" s="45"/>
      <c r="R131" s="45"/>
      <c r="S131" s="45"/>
      <c r="T131" s="45"/>
      <c r="U131" s="45"/>
      <c r="V131" s="45"/>
      <c r="W131" s="45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41" t="s">
        <v>21</v>
      </c>
      <c r="B132" s="41" t="s">
        <v>35</v>
      </c>
      <c r="C132" s="41" t="s">
        <v>39</v>
      </c>
      <c r="D132" s="41" t="s">
        <v>45</v>
      </c>
      <c r="E132" s="41" t="s">
        <v>25</v>
      </c>
      <c r="F132" s="41" t="s">
        <v>25</v>
      </c>
      <c r="G132" s="41" t="s">
        <v>25</v>
      </c>
      <c r="H132" s="41" t="s">
        <v>38</v>
      </c>
      <c r="I132" s="61">
        <v>44531</v>
      </c>
      <c r="J132" s="62">
        <f>EFEITO!$J$132*EFEITO!$Y$132</f>
        <v>0</v>
      </c>
      <c r="K132" s="62">
        <f ca="1">EFEITO!$L$132*EFEITO!$Z$132</f>
        <v>265.40568690059246</v>
      </c>
      <c r="L132" s="62">
        <f>EFEITO!$N$132*EFEITO!$AA$132</f>
        <v>383.63642116110765</v>
      </c>
      <c r="M132" s="62">
        <f>$J$132-EFEITO!$K$132*EFEITO!$Y$132</f>
        <v>0</v>
      </c>
      <c r="N132" s="62">
        <f ca="1">$K$132-EFEITO!$M$132*EFEITO!$Z$132</f>
        <v>0</v>
      </c>
      <c r="O132" s="62">
        <f>$L$132-EFEITO!$O$132*EFEITO!$AA$132</f>
        <v>0</v>
      </c>
      <c r="P132" s="45"/>
      <c r="Q132" s="45"/>
      <c r="R132" s="45"/>
      <c r="S132" s="45"/>
      <c r="T132" s="45"/>
      <c r="U132" s="45"/>
      <c r="V132" s="45"/>
      <c r="W132" s="4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41" t="s">
        <v>21</v>
      </c>
      <c r="B133" s="41" t="s">
        <v>35</v>
      </c>
      <c r="C133" s="41" t="s">
        <v>39</v>
      </c>
      <c r="D133" s="41" t="s">
        <v>45</v>
      </c>
      <c r="E133" s="41" t="s">
        <v>25</v>
      </c>
      <c r="F133" s="41" t="s">
        <v>25</v>
      </c>
      <c r="G133" s="41" t="s">
        <v>25</v>
      </c>
      <c r="H133" s="41" t="s">
        <v>38</v>
      </c>
      <c r="I133" s="61">
        <v>44562</v>
      </c>
      <c r="J133" s="62">
        <f>EFEITO!$J$133*EFEITO!$Y$133</f>
        <v>0</v>
      </c>
      <c r="K133" s="62">
        <f ca="1">EFEITO!$L$133*EFEITO!$Z$133</f>
        <v>124.57432170049177</v>
      </c>
      <c r="L133" s="62">
        <f>EFEITO!$N$133*EFEITO!$AA$133</f>
        <v>180.06866206920935</v>
      </c>
      <c r="M133" s="62">
        <f>$J$133-EFEITO!$K$133*EFEITO!$Y$133</f>
        <v>0</v>
      </c>
      <c r="N133" s="62">
        <f ca="1">$K$133-EFEITO!$M$133*EFEITO!$Z$133</f>
        <v>0</v>
      </c>
      <c r="O133" s="62">
        <f>$L$133-EFEITO!$O$133*EFEITO!$AA$133</f>
        <v>0</v>
      </c>
      <c r="P133" s="45"/>
      <c r="Q133" s="45"/>
      <c r="R133" s="45"/>
      <c r="S133" s="45"/>
      <c r="T133" s="45"/>
      <c r="U133" s="45"/>
      <c r="V133" s="45"/>
      <c r="W133" s="4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41" t="s">
        <v>21</v>
      </c>
      <c r="B134" s="41" t="s">
        <v>35</v>
      </c>
      <c r="C134" s="41" t="s">
        <v>39</v>
      </c>
      <c r="D134" s="41" t="s">
        <v>45</v>
      </c>
      <c r="E134" s="41" t="s">
        <v>25</v>
      </c>
      <c r="F134" s="41" t="s">
        <v>25</v>
      </c>
      <c r="G134" s="41" t="s">
        <v>25</v>
      </c>
      <c r="H134" s="41" t="s">
        <v>38</v>
      </c>
      <c r="I134" s="61">
        <v>44593</v>
      </c>
      <c r="J134" s="62">
        <f>EFEITO!$J$134*EFEITO!$Y$134</f>
        <v>0</v>
      </c>
      <c r="K134" s="62">
        <f ca="1">EFEITO!$L$134*EFEITO!$Z$134</f>
        <v>56.994169943396457</v>
      </c>
      <c r="L134" s="62">
        <f>EFEITO!$N$134*EFEITO!$AA$134</f>
        <v>82.383462236519904</v>
      </c>
      <c r="M134" s="62">
        <f>$J$134-EFEITO!$K$134*EFEITO!$Y$134</f>
        <v>0</v>
      </c>
      <c r="N134" s="62">
        <f ca="1">$K$134-EFEITO!$M$134*EFEITO!$Z$134</f>
        <v>0</v>
      </c>
      <c r="O134" s="62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41" t="s">
        <v>21</v>
      </c>
      <c r="B135" s="41" t="s">
        <v>35</v>
      </c>
      <c r="C135" s="41" t="s">
        <v>39</v>
      </c>
      <c r="D135" s="41" t="s">
        <v>45</v>
      </c>
      <c r="E135" s="41" t="s">
        <v>25</v>
      </c>
      <c r="F135" s="41" t="s">
        <v>25</v>
      </c>
      <c r="G135" s="41" t="s">
        <v>25</v>
      </c>
      <c r="H135" s="41" t="s">
        <v>38</v>
      </c>
      <c r="I135" s="61">
        <v>44621</v>
      </c>
      <c r="J135" s="62">
        <f>EFEITO!$J$135*EFEITO!$Y$135</f>
        <v>0</v>
      </c>
      <c r="K135" s="62">
        <f ca="1">EFEITO!$L$135*EFEITO!$Z$135</f>
        <v>243.66661710460374</v>
      </c>
      <c r="L135" s="62">
        <f>EFEITO!$N$135*EFEITO!$AA$135</f>
        <v>352.2132100261166</v>
      </c>
      <c r="M135" s="62">
        <f>$J$135-EFEITO!$K$135*EFEITO!$Y$135</f>
        <v>0</v>
      </c>
      <c r="N135" s="62">
        <f ca="1">$K$135-EFEITO!$M$135*EFEITO!$Z$135</f>
        <v>0</v>
      </c>
      <c r="O135" s="62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41" t="s">
        <v>21</v>
      </c>
      <c r="B136" s="41" t="s">
        <v>35</v>
      </c>
      <c r="C136" s="41" t="s">
        <v>39</v>
      </c>
      <c r="D136" s="41" t="s">
        <v>45</v>
      </c>
      <c r="E136" s="41" t="s">
        <v>25</v>
      </c>
      <c r="F136" s="41" t="s">
        <v>25</v>
      </c>
      <c r="G136" s="41" t="s">
        <v>25</v>
      </c>
      <c r="H136" s="41" t="s">
        <v>38</v>
      </c>
      <c r="I136" s="61">
        <v>44652</v>
      </c>
      <c r="J136" s="62">
        <f>EFEITO!$J$136*EFEITO!$Y$136</f>
        <v>0</v>
      </c>
      <c r="K136" s="62">
        <f ca="1">EFEITO!$L$136*EFEITO!$Z$136</f>
        <v>393.38264561263026</v>
      </c>
      <c r="L136" s="62">
        <f>EFEITO!$N$136*EFEITO!$AA$136</f>
        <v>568.62349888622862</v>
      </c>
      <c r="M136" s="62">
        <f>$J$136-EFEITO!$K$136*EFEITO!$Y$136</f>
        <v>0</v>
      </c>
      <c r="N136" s="62">
        <f ca="1">$K$136-EFEITO!$M$136*EFEITO!$Z$136</f>
        <v>0</v>
      </c>
      <c r="O136" s="62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41" t="s">
        <v>21</v>
      </c>
      <c r="B137" s="41" t="s">
        <v>35</v>
      </c>
      <c r="C137" s="41" t="s">
        <v>39</v>
      </c>
      <c r="D137" s="41" t="s">
        <v>45</v>
      </c>
      <c r="E137" s="41" t="s">
        <v>25</v>
      </c>
      <c r="F137" s="41" t="s">
        <v>25</v>
      </c>
      <c r="G137" s="41" t="s">
        <v>25</v>
      </c>
      <c r="H137" s="41" t="s">
        <v>38</v>
      </c>
      <c r="I137" s="61">
        <v>44682</v>
      </c>
      <c r="J137" s="62">
        <f>EFEITO!$J$137*EFEITO!$Y$137</f>
        <v>0</v>
      </c>
      <c r="K137" s="62">
        <f ca="1">EFEITO!$L$137*EFEITO!$Z$137</f>
        <v>161.24718726937704</v>
      </c>
      <c r="L137" s="62">
        <f>EFEITO!$N$137*EFEITO!$AA$137</f>
        <v>233.07825302736811</v>
      </c>
      <c r="M137" s="62">
        <f>$J$137-EFEITO!$K$137*EFEITO!$Y$137</f>
        <v>0</v>
      </c>
      <c r="N137" s="62">
        <f ca="1">$K$137-EFEITO!$M$137*EFEITO!$Z$137</f>
        <v>0</v>
      </c>
      <c r="O137" s="62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41" t="s">
        <v>21</v>
      </c>
      <c r="B138" s="41" t="s">
        <v>35</v>
      </c>
      <c r="C138" s="41" t="s">
        <v>39</v>
      </c>
      <c r="D138" s="41" t="s">
        <v>45</v>
      </c>
      <c r="E138" s="41" t="s">
        <v>25</v>
      </c>
      <c r="F138" s="41" t="s">
        <v>25</v>
      </c>
      <c r="G138" s="41" t="s">
        <v>25</v>
      </c>
      <c r="H138" s="41" t="s">
        <v>38</v>
      </c>
      <c r="I138" s="61">
        <v>44713</v>
      </c>
      <c r="J138" s="62">
        <f>EFEITO!$J$138*EFEITO!$Y$138</f>
        <v>0</v>
      </c>
      <c r="K138" s="62">
        <f ca="1">EFEITO!$L$138*EFEITO!$Z$138</f>
        <v>156.33226714158829</v>
      </c>
      <c r="L138" s="62">
        <f>EFEITO!$N$138*EFEITO!$AA$138</f>
        <v>225.97387485771796</v>
      </c>
      <c r="M138" s="62">
        <f>$J$138-EFEITO!$K$138*EFEITO!$Y$138</f>
        <v>0</v>
      </c>
      <c r="N138" s="62">
        <f ca="1">$K$138-EFEITO!$M$138*EFEITO!$Z$138</f>
        <v>0</v>
      </c>
      <c r="O138" s="62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41" t="s">
        <v>21</v>
      </c>
      <c r="B139" s="41" t="s">
        <v>35</v>
      </c>
      <c r="C139" s="41" t="s">
        <v>39</v>
      </c>
      <c r="D139" s="41" t="s">
        <v>45</v>
      </c>
      <c r="E139" s="41" t="s">
        <v>25</v>
      </c>
      <c r="F139" s="41" t="s">
        <v>25</v>
      </c>
      <c r="G139" s="41" t="s">
        <v>25</v>
      </c>
      <c r="H139" s="41" t="s">
        <v>38</v>
      </c>
      <c r="I139" s="61">
        <v>44743</v>
      </c>
      <c r="J139" s="62">
        <f>EFEITO!$J$139*EFEITO!$Y$139</f>
        <v>0</v>
      </c>
      <c r="K139" s="62">
        <f ca="1">EFEITO!$L$139*EFEITO!$Z$139</f>
        <v>163.70464733327142</v>
      </c>
      <c r="L139" s="62">
        <f>EFEITO!$N$139*EFEITO!$AA$139</f>
        <v>236.63044211219318</v>
      </c>
      <c r="M139" s="62">
        <f>$J$139-EFEITO!$K$139*EFEITO!$Y$139</f>
        <v>0</v>
      </c>
      <c r="N139" s="62">
        <f ca="1">$K$139-EFEITO!$M$139*EFEITO!$Z$139</f>
        <v>0</v>
      </c>
      <c r="O139" s="62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41" t="s">
        <v>55</v>
      </c>
      <c r="B140" s="41" t="s">
        <v>35</v>
      </c>
      <c r="C140" s="41" t="s">
        <v>39</v>
      </c>
      <c r="D140" s="41" t="s">
        <v>45</v>
      </c>
      <c r="E140" s="41" t="s">
        <v>25</v>
      </c>
      <c r="F140" s="41" t="s">
        <v>25</v>
      </c>
      <c r="G140" s="41" t="s">
        <v>25</v>
      </c>
      <c r="H140" s="41" t="s">
        <v>38</v>
      </c>
      <c r="I140" s="61">
        <v>44774</v>
      </c>
      <c r="J140" s="62">
        <f>EFEITO!$J$140*EFEITO!$Y$140</f>
        <v>0</v>
      </c>
      <c r="K140" s="62">
        <f ca="1">EFEITO!$L$140*EFEITO!$Z$140</f>
        <v>163.70464733327142</v>
      </c>
      <c r="L140" s="62">
        <f>EFEITO!$N$140*EFEITO!$AA$140</f>
        <v>236.63044211219318</v>
      </c>
      <c r="M140" s="62">
        <f>$J$140-EFEITO!$K$140*EFEITO!$Y$140</f>
        <v>0</v>
      </c>
      <c r="N140" s="62">
        <f ca="1">$K$140-EFEITO!$M$140*EFEITO!$Z$140</f>
        <v>0</v>
      </c>
      <c r="O140" s="62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41" t="s">
        <v>21</v>
      </c>
      <c r="B141" s="41" t="s">
        <v>35</v>
      </c>
      <c r="C141" s="41" t="s">
        <v>39</v>
      </c>
      <c r="D141" s="41" t="s">
        <v>45</v>
      </c>
      <c r="E141" s="41" t="s">
        <v>25</v>
      </c>
      <c r="F141" s="41" t="s">
        <v>25</v>
      </c>
      <c r="G141" s="41" t="s">
        <v>25</v>
      </c>
      <c r="H141" s="41" t="s">
        <v>25</v>
      </c>
      <c r="I141" s="61">
        <v>44440</v>
      </c>
      <c r="J141" s="62">
        <f ca="1">EFEITO!$J$141*EFEITO!$Y$141</f>
        <v>2829.1387553311069</v>
      </c>
      <c r="K141" s="62">
        <f>EFEITO!$L$141*EFEITO!$Z$141</f>
        <v>0</v>
      </c>
      <c r="L141" s="62">
        <f>EFEITO!$N$141*EFEITO!$AA$141</f>
        <v>0</v>
      </c>
      <c r="M141" s="62">
        <f ca="1">$J$141-EFEITO!$K$141*EFEITO!$Y$141</f>
        <v>0</v>
      </c>
      <c r="N141" s="62">
        <f>$K$141-EFEITO!$M$141*EFEITO!$Z$141</f>
        <v>0</v>
      </c>
      <c r="O141" s="62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41" t="s">
        <v>21</v>
      </c>
      <c r="B142" s="41" t="s">
        <v>35</v>
      </c>
      <c r="C142" s="41" t="s">
        <v>39</v>
      </c>
      <c r="D142" s="41" t="s">
        <v>45</v>
      </c>
      <c r="E142" s="41" t="s">
        <v>25</v>
      </c>
      <c r="F142" s="41" t="s">
        <v>25</v>
      </c>
      <c r="G142" s="41" t="s">
        <v>25</v>
      </c>
      <c r="H142" s="41" t="s">
        <v>25</v>
      </c>
      <c r="I142" s="61">
        <v>44470</v>
      </c>
      <c r="J142" s="62">
        <f ca="1">EFEITO!$J$142*EFEITO!$Y$142</f>
        <v>2829.1387553311069</v>
      </c>
      <c r="K142" s="62">
        <f>EFEITO!$L$142*EFEITO!$Z$142</f>
        <v>0</v>
      </c>
      <c r="L142" s="62">
        <f>EFEITO!$N$142*EFEITO!$AA$142</f>
        <v>0</v>
      </c>
      <c r="M142" s="62">
        <f ca="1">$J$142-EFEITO!$K$142*EFEITO!$Y$142</f>
        <v>0</v>
      </c>
      <c r="N142" s="62">
        <f>$K$142-EFEITO!$M$142*EFEITO!$Z$142</f>
        <v>0</v>
      </c>
      <c r="O142" s="62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41" t="s">
        <v>21</v>
      </c>
      <c r="B143" s="41" t="s">
        <v>35</v>
      </c>
      <c r="C143" s="41" t="s">
        <v>39</v>
      </c>
      <c r="D143" s="41" t="s">
        <v>45</v>
      </c>
      <c r="E143" s="41" t="s">
        <v>25</v>
      </c>
      <c r="F143" s="41" t="s">
        <v>25</v>
      </c>
      <c r="G143" s="41" t="s">
        <v>25</v>
      </c>
      <c r="H143" s="41" t="s">
        <v>25</v>
      </c>
      <c r="I143" s="61">
        <v>44501</v>
      </c>
      <c r="J143" s="62">
        <f ca="1">EFEITO!$J$143*EFEITO!$Y$143</f>
        <v>2829.1387553311069</v>
      </c>
      <c r="K143" s="62">
        <f>EFEITO!$L$143*EFEITO!$Z$143</f>
        <v>0</v>
      </c>
      <c r="L143" s="62">
        <f>EFEITO!$N$143*EFEITO!$AA$143</f>
        <v>0</v>
      </c>
      <c r="M143" s="62">
        <f ca="1">$J$143-EFEITO!$K$143*EFEITO!$Y$143</f>
        <v>0</v>
      </c>
      <c r="N143" s="62">
        <f>$K$143-EFEITO!$M$143*EFEITO!$Z$143</f>
        <v>0</v>
      </c>
      <c r="O143" s="62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41" t="s">
        <v>21</v>
      </c>
      <c r="B144" s="41" t="s">
        <v>35</v>
      </c>
      <c r="C144" s="41" t="s">
        <v>39</v>
      </c>
      <c r="D144" s="41" t="s">
        <v>45</v>
      </c>
      <c r="E144" s="41" t="s">
        <v>25</v>
      </c>
      <c r="F144" s="41" t="s">
        <v>25</v>
      </c>
      <c r="G144" s="41" t="s">
        <v>25</v>
      </c>
      <c r="H144" s="41" t="s">
        <v>25</v>
      </c>
      <c r="I144" s="61">
        <v>44531</v>
      </c>
      <c r="J144" s="62">
        <f ca="1">EFEITO!$J$144*EFEITO!$Y$144</f>
        <v>2829.1387553311069</v>
      </c>
      <c r="K144" s="62">
        <f>EFEITO!$L$144*EFEITO!$Z$144</f>
        <v>0</v>
      </c>
      <c r="L144" s="62">
        <f>EFEITO!$N$144*EFEITO!$AA$144</f>
        <v>0</v>
      </c>
      <c r="M144" s="62">
        <f ca="1">$J$144-EFEITO!$K$144*EFEITO!$Y$144</f>
        <v>0</v>
      </c>
      <c r="N144" s="62">
        <f>$K$144-EFEITO!$M$144*EFEITO!$Z$144</f>
        <v>0</v>
      </c>
      <c r="O144" s="62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41" t="s">
        <v>21</v>
      </c>
      <c r="B145" s="41" t="s">
        <v>35</v>
      </c>
      <c r="C145" s="41" t="s">
        <v>39</v>
      </c>
      <c r="D145" s="41" t="s">
        <v>45</v>
      </c>
      <c r="E145" s="41" t="s">
        <v>25</v>
      </c>
      <c r="F145" s="41" t="s">
        <v>25</v>
      </c>
      <c r="G145" s="41" t="s">
        <v>25</v>
      </c>
      <c r="H145" s="41" t="s">
        <v>25</v>
      </c>
      <c r="I145" s="61">
        <v>44562</v>
      </c>
      <c r="J145" s="62">
        <f ca="1">EFEITO!$J$145*EFEITO!$Y$145</f>
        <v>2829.1387553311069</v>
      </c>
      <c r="K145" s="62">
        <f>EFEITO!$L$145*EFEITO!$Z$145</f>
        <v>0</v>
      </c>
      <c r="L145" s="62">
        <f>EFEITO!$N$145*EFEITO!$AA$145</f>
        <v>0</v>
      </c>
      <c r="M145" s="62">
        <f ca="1">$J$145-EFEITO!$K$145*EFEITO!$Y$145</f>
        <v>0</v>
      </c>
      <c r="N145" s="62">
        <f>$K$145-EFEITO!$M$145*EFEITO!$Z$145</f>
        <v>0</v>
      </c>
      <c r="O145" s="62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41" t="s">
        <v>21</v>
      </c>
      <c r="B146" s="41" t="s">
        <v>35</v>
      </c>
      <c r="C146" s="41" t="s">
        <v>39</v>
      </c>
      <c r="D146" s="41" t="s">
        <v>45</v>
      </c>
      <c r="E146" s="41" t="s">
        <v>25</v>
      </c>
      <c r="F146" s="41" t="s">
        <v>25</v>
      </c>
      <c r="G146" s="41" t="s">
        <v>25</v>
      </c>
      <c r="H146" s="41" t="s">
        <v>25</v>
      </c>
      <c r="I146" s="61">
        <v>44593</v>
      </c>
      <c r="J146" s="62">
        <f ca="1">EFEITO!$J$146*EFEITO!$Y$146</f>
        <v>2829.1387553311069</v>
      </c>
      <c r="K146" s="62">
        <f>EFEITO!$L$146*EFEITO!$Z$146</f>
        <v>0</v>
      </c>
      <c r="L146" s="62">
        <f>EFEITO!$N$146*EFEITO!$AA$146</f>
        <v>0</v>
      </c>
      <c r="M146" s="62">
        <f ca="1">$J$146-EFEITO!$K$146*EFEITO!$Y$146</f>
        <v>0</v>
      </c>
      <c r="N146" s="62">
        <f>$K$146-EFEITO!$M$146*EFEITO!$Z$146</f>
        <v>0</v>
      </c>
      <c r="O146" s="62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41" t="s">
        <v>21</v>
      </c>
      <c r="B147" s="41" t="s">
        <v>35</v>
      </c>
      <c r="C147" s="41" t="s">
        <v>39</v>
      </c>
      <c r="D147" s="41" t="s">
        <v>45</v>
      </c>
      <c r="E147" s="41" t="s">
        <v>25</v>
      </c>
      <c r="F147" s="41" t="s">
        <v>25</v>
      </c>
      <c r="G147" s="41" t="s">
        <v>25</v>
      </c>
      <c r="H147" s="41" t="s">
        <v>25</v>
      </c>
      <c r="I147" s="61">
        <v>44621</v>
      </c>
      <c r="J147" s="62">
        <f ca="1">EFEITO!$J$147*EFEITO!$Y$147</f>
        <v>2829.1387553311069</v>
      </c>
      <c r="K147" s="62">
        <f>EFEITO!$L$147*EFEITO!$Z$147</f>
        <v>0</v>
      </c>
      <c r="L147" s="62">
        <f>EFEITO!$N$147*EFEITO!$AA$147</f>
        <v>0</v>
      </c>
      <c r="M147" s="62">
        <f ca="1">$J$147-EFEITO!$K$147*EFEITO!$Y$147</f>
        <v>0</v>
      </c>
      <c r="N147" s="62">
        <f>$K$147-EFEITO!$M$147*EFEITO!$Z$147</f>
        <v>0</v>
      </c>
      <c r="O147" s="62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41" t="s">
        <v>21</v>
      </c>
      <c r="B148" s="41" t="s">
        <v>35</v>
      </c>
      <c r="C148" s="41" t="s">
        <v>39</v>
      </c>
      <c r="D148" s="41" t="s">
        <v>45</v>
      </c>
      <c r="E148" s="41" t="s">
        <v>25</v>
      </c>
      <c r="F148" s="41" t="s">
        <v>25</v>
      </c>
      <c r="G148" s="41" t="s">
        <v>25</v>
      </c>
      <c r="H148" s="41" t="s">
        <v>25</v>
      </c>
      <c r="I148" s="61">
        <v>44652</v>
      </c>
      <c r="J148" s="62">
        <f ca="1">EFEITO!$J$148*EFEITO!$Y$148</f>
        <v>2829.1387553311069</v>
      </c>
      <c r="K148" s="62">
        <f>EFEITO!$L$148*EFEITO!$Z$148</f>
        <v>0</v>
      </c>
      <c r="L148" s="62">
        <f>EFEITO!$N$148*EFEITO!$AA$148</f>
        <v>0</v>
      </c>
      <c r="M148" s="62">
        <f ca="1">$J$148-EFEITO!$K$148*EFEITO!$Y$148</f>
        <v>0</v>
      </c>
      <c r="N148" s="62">
        <f>$K$148-EFEITO!$M$148*EFEITO!$Z$148</f>
        <v>0</v>
      </c>
      <c r="O148" s="62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41" t="s">
        <v>21</v>
      </c>
      <c r="B149" s="41" t="s">
        <v>35</v>
      </c>
      <c r="C149" s="41" t="s">
        <v>39</v>
      </c>
      <c r="D149" s="41" t="s">
        <v>45</v>
      </c>
      <c r="E149" s="41" t="s">
        <v>25</v>
      </c>
      <c r="F149" s="41" t="s">
        <v>25</v>
      </c>
      <c r="G149" s="41" t="s">
        <v>25</v>
      </c>
      <c r="H149" s="41" t="s">
        <v>25</v>
      </c>
      <c r="I149" s="61">
        <v>44682</v>
      </c>
      <c r="J149" s="62">
        <f ca="1">EFEITO!$J$149*EFEITO!$Y$149</f>
        <v>2829.1387553311069</v>
      </c>
      <c r="K149" s="62">
        <f>EFEITO!$L$149*EFEITO!$Z$149</f>
        <v>0</v>
      </c>
      <c r="L149" s="62">
        <f>EFEITO!$N$149*EFEITO!$AA$149</f>
        <v>0</v>
      </c>
      <c r="M149" s="62">
        <f ca="1">$J$149-EFEITO!$K$149*EFEITO!$Y$149</f>
        <v>0</v>
      </c>
      <c r="N149" s="62">
        <f>$K$149-EFEITO!$M$149*EFEITO!$Z$149</f>
        <v>0</v>
      </c>
      <c r="O149" s="62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41" t="s">
        <v>21</v>
      </c>
      <c r="B150" s="41" t="s">
        <v>35</v>
      </c>
      <c r="C150" s="41" t="s">
        <v>39</v>
      </c>
      <c r="D150" s="41" t="s">
        <v>45</v>
      </c>
      <c r="E150" s="41" t="s">
        <v>25</v>
      </c>
      <c r="F150" s="41" t="s">
        <v>25</v>
      </c>
      <c r="G150" s="41" t="s">
        <v>25</v>
      </c>
      <c r="H150" s="41" t="s">
        <v>25</v>
      </c>
      <c r="I150" s="61">
        <v>44713</v>
      </c>
      <c r="J150" s="62">
        <f ca="1">EFEITO!$J$150*EFEITO!$Y$150</f>
        <v>2829.1387553311069</v>
      </c>
      <c r="K150" s="62">
        <f>EFEITO!$L$150*EFEITO!$Z$150</f>
        <v>0</v>
      </c>
      <c r="L150" s="62">
        <f>EFEITO!$N$150*EFEITO!$AA$150</f>
        <v>0</v>
      </c>
      <c r="M150" s="62">
        <f ca="1">$J$150-EFEITO!$K$150*EFEITO!$Y$150</f>
        <v>0</v>
      </c>
      <c r="N150" s="62">
        <f>$K$150-EFEITO!$M$150*EFEITO!$Z$150</f>
        <v>0</v>
      </c>
      <c r="O150" s="62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41" t="s">
        <v>21</v>
      </c>
      <c r="B151" s="41" t="s">
        <v>35</v>
      </c>
      <c r="C151" s="41" t="s">
        <v>39</v>
      </c>
      <c r="D151" s="41" t="s">
        <v>45</v>
      </c>
      <c r="E151" s="41" t="s">
        <v>25</v>
      </c>
      <c r="F151" s="41" t="s">
        <v>25</v>
      </c>
      <c r="G151" s="41" t="s">
        <v>25</v>
      </c>
      <c r="H151" s="41" t="s">
        <v>25</v>
      </c>
      <c r="I151" s="61">
        <v>44743</v>
      </c>
      <c r="J151" s="62">
        <f ca="1">EFEITO!$J$151*EFEITO!$Y$151</f>
        <v>2829.1387553311069</v>
      </c>
      <c r="K151" s="62">
        <f>EFEITO!$L$151*EFEITO!$Z$151</f>
        <v>0</v>
      </c>
      <c r="L151" s="62">
        <f>EFEITO!$N$151*EFEITO!$AA$151</f>
        <v>0</v>
      </c>
      <c r="M151" s="62">
        <f ca="1">$J$151-EFEITO!$K$151*EFEITO!$Y$151</f>
        <v>0</v>
      </c>
      <c r="N151" s="62">
        <f>$K$151-EFEITO!$M$151*EFEITO!$Z$151</f>
        <v>0</v>
      </c>
      <c r="O151" s="62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41" t="s">
        <v>55</v>
      </c>
      <c r="B152" s="41" t="s">
        <v>35</v>
      </c>
      <c r="C152" s="41" t="s">
        <v>39</v>
      </c>
      <c r="D152" s="41" t="s">
        <v>45</v>
      </c>
      <c r="E152" s="41" t="s">
        <v>25</v>
      </c>
      <c r="F152" s="41" t="s">
        <v>25</v>
      </c>
      <c r="G152" s="41" t="s">
        <v>25</v>
      </c>
      <c r="H152" s="41" t="s">
        <v>25</v>
      </c>
      <c r="I152" s="61">
        <v>44774</v>
      </c>
      <c r="J152" s="62">
        <f ca="1">EFEITO!$J$152*EFEITO!$Y$152</f>
        <v>2829.1387553311069</v>
      </c>
      <c r="K152" s="62">
        <f>EFEITO!$L$152*EFEITO!$Z$152</f>
        <v>0</v>
      </c>
      <c r="L152" s="62">
        <f>EFEITO!$N$152*EFEITO!$AA$152</f>
        <v>0</v>
      </c>
      <c r="M152" s="62">
        <f ca="1">$J$152-EFEITO!$K$152*EFEITO!$Y$152</f>
        <v>0</v>
      </c>
      <c r="N152" s="62">
        <f>$K$152-EFEITO!$M$152*EFEITO!$Z$152</f>
        <v>0</v>
      </c>
      <c r="O152" s="62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41" t="s">
        <v>21</v>
      </c>
      <c r="B153" s="41" t="s">
        <v>35</v>
      </c>
      <c r="C153" s="41" t="s">
        <v>39</v>
      </c>
      <c r="D153" s="41" t="s">
        <v>45</v>
      </c>
      <c r="E153" s="41" t="s">
        <v>25</v>
      </c>
      <c r="F153" s="41" t="s">
        <v>25</v>
      </c>
      <c r="G153" s="41" t="s">
        <v>25</v>
      </c>
      <c r="H153" s="41" t="s">
        <v>37</v>
      </c>
      <c r="I153" s="61">
        <v>44440</v>
      </c>
      <c r="J153" s="62">
        <f>EFEITO!$J$153*EFEITO!$Y$153</f>
        <v>0</v>
      </c>
      <c r="K153" s="62">
        <f ca="1">EFEITO!$L$153*EFEITO!$Z$153</f>
        <v>228.52111834601044</v>
      </c>
      <c r="L153" s="62">
        <f>EFEITO!$N$153*EFEITO!$AA$153</f>
        <v>11.886171168453121</v>
      </c>
      <c r="M153" s="62">
        <f>$J$153-EFEITO!$K$153*EFEITO!$Y$153</f>
        <v>0</v>
      </c>
      <c r="N153" s="62">
        <f ca="1">$K$153-EFEITO!$M$153*EFEITO!$Z$153</f>
        <v>0</v>
      </c>
      <c r="O153" s="62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41" t="s">
        <v>21</v>
      </c>
      <c r="B154" s="41" t="s">
        <v>35</v>
      </c>
      <c r="C154" s="41" t="s">
        <v>39</v>
      </c>
      <c r="D154" s="41" t="s">
        <v>45</v>
      </c>
      <c r="E154" s="41" t="s">
        <v>25</v>
      </c>
      <c r="F154" s="41" t="s">
        <v>25</v>
      </c>
      <c r="G154" s="41" t="s">
        <v>25</v>
      </c>
      <c r="H154" s="41" t="s">
        <v>37</v>
      </c>
      <c r="I154" s="61">
        <v>44470</v>
      </c>
      <c r="J154" s="62">
        <f>EFEITO!$J$154*EFEITO!$Y$154</f>
        <v>0</v>
      </c>
      <c r="K154" s="62">
        <f ca="1">EFEITO!$L$154*EFEITO!$Z$154</f>
        <v>239.02783643088452</v>
      </c>
      <c r="L154" s="62">
        <f>EFEITO!$N$154*EFEITO!$AA$154</f>
        <v>12.432661796887748</v>
      </c>
      <c r="M154" s="62">
        <f>$J$154-EFEITO!$K$154*EFEITO!$Y$154</f>
        <v>0</v>
      </c>
      <c r="N154" s="62">
        <f ca="1">$K$154-EFEITO!$M$154*EFEITO!$Z$154</f>
        <v>0</v>
      </c>
      <c r="O154" s="62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41" t="s">
        <v>21</v>
      </c>
      <c r="B155" s="41" t="s">
        <v>35</v>
      </c>
      <c r="C155" s="41" t="s">
        <v>39</v>
      </c>
      <c r="D155" s="41" t="s">
        <v>45</v>
      </c>
      <c r="E155" s="41" t="s">
        <v>25</v>
      </c>
      <c r="F155" s="41" t="s">
        <v>25</v>
      </c>
      <c r="G155" s="41" t="s">
        <v>25</v>
      </c>
      <c r="H155" s="41" t="s">
        <v>37</v>
      </c>
      <c r="I155" s="61">
        <v>44501</v>
      </c>
      <c r="J155" s="62">
        <f>EFEITO!$J$155*EFEITO!$Y$155</f>
        <v>0</v>
      </c>
      <c r="K155" s="62">
        <f ca="1">EFEITO!$L$155*EFEITO!$Z$155</f>
        <v>249.53455451575857</v>
      </c>
      <c r="L155" s="62">
        <f>EFEITO!$N$155*EFEITO!$AA$155</f>
        <v>12.979152425322374</v>
      </c>
      <c r="M155" s="62">
        <f>$J$155-EFEITO!$K$155*EFEITO!$Y$155</f>
        <v>0</v>
      </c>
      <c r="N155" s="62">
        <f ca="1">$K$155-EFEITO!$M$155*EFEITO!$Z$155</f>
        <v>0</v>
      </c>
      <c r="O155" s="62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41" t="s">
        <v>21</v>
      </c>
      <c r="B156" s="41" t="s">
        <v>35</v>
      </c>
      <c r="C156" s="41" t="s">
        <v>39</v>
      </c>
      <c r="D156" s="41" t="s">
        <v>45</v>
      </c>
      <c r="E156" s="41" t="s">
        <v>25</v>
      </c>
      <c r="F156" s="41" t="s">
        <v>25</v>
      </c>
      <c r="G156" s="41" t="s">
        <v>25</v>
      </c>
      <c r="H156" s="41" t="s">
        <v>37</v>
      </c>
      <c r="I156" s="61">
        <v>44531</v>
      </c>
      <c r="J156" s="62">
        <f>EFEITO!$J$156*EFEITO!$Y$156</f>
        <v>0</v>
      </c>
      <c r="K156" s="62">
        <f ca="1">EFEITO!$L$156*EFEITO!$Z$156</f>
        <v>254.78791355819558</v>
      </c>
      <c r="L156" s="62">
        <f>EFEITO!$N$156*EFEITO!$AA$156</f>
        <v>13.252397739539688</v>
      </c>
      <c r="M156" s="62">
        <f>$J$156-EFEITO!$K$156*EFEITO!$Y$156</f>
        <v>0</v>
      </c>
      <c r="N156" s="62">
        <f ca="1">$K$156-EFEITO!$M$156*EFEITO!$Z$156</f>
        <v>0</v>
      </c>
      <c r="O156" s="62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41" t="s">
        <v>21</v>
      </c>
      <c r="B157" s="41" t="s">
        <v>35</v>
      </c>
      <c r="C157" s="41" t="s">
        <v>39</v>
      </c>
      <c r="D157" s="41" t="s">
        <v>45</v>
      </c>
      <c r="E157" s="41" t="s">
        <v>25</v>
      </c>
      <c r="F157" s="41" t="s">
        <v>25</v>
      </c>
      <c r="G157" s="41" t="s">
        <v>25</v>
      </c>
      <c r="H157" s="41" t="s">
        <v>37</v>
      </c>
      <c r="I157" s="61">
        <v>44562</v>
      </c>
      <c r="J157" s="62">
        <f>EFEITO!$J$157*EFEITO!$Y$157</f>
        <v>0</v>
      </c>
      <c r="K157" s="62">
        <f ca="1">EFEITO!$L$157*EFEITO!$Z$157</f>
        <v>246.90787499454004</v>
      </c>
      <c r="L157" s="62">
        <f>EFEITO!$N$157*EFEITO!$AA$157</f>
        <v>12.842529768213717</v>
      </c>
      <c r="M157" s="62">
        <f>$J$157-EFEITO!$K$157*EFEITO!$Y$157</f>
        <v>0</v>
      </c>
      <c r="N157" s="62">
        <f ca="1">$K$157-EFEITO!$M$157*EFEITO!$Z$157</f>
        <v>0</v>
      </c>
      <c r="O157" s="62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41" t="s">
        <v>21</v>
      </c>
      <c r="B158" s="41" t="s">
        <v>35</v>
      </c>
      <c r="C158" s="41" t="s">
        <v>39</v>
      </c>
      <c r="D158" s="41" t="s">
        <v>45</v>
      </c>
      <c r="E158" s="41" t="s">
        <v>25</v>
      </c>
      <c r="F158" s="41" t="s">
        <v>25</v>
      </c>
      <c r="G158" s="41" t="s">
        <v>25</v>
      </c>
      <c r="H158" s="41" t="s">
        <v>37</v>
      </c>
      <c r="I158" s="61">
        <v>44593</v>
      </c>
      <c r="J158" s="62">
        <f>EFEITO!$J$158*EFEITO!$Y$158</f>
        <v>0</v>
      </c>
      <c r="K158" s="62">
        <f ca="1">EFEITO!$L$158*EFEITO!$Z$158</f>
        <v>181.24088696407728</v>
      </c>
      <c r="L158" s="62">
        <f>EFEITO!$N$158*EFEITO!$AA$158</f>
        <v>9.4269633404973039</v>
      </c>
      <c r="M158" s="62">
        <f>$J$158-EFEITO!$K$158*EFEITO!$Y$158</f>
        <v>0</v>
      </c>
      <c r="N158" s="62">
        <f ca="1">$K$158-EFEITO!$M$158*EFEITO!$Z$158</f>
        <v>0</v>
      </c>
      <c r="O158" s="62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41" t="s">
        <v>21</v>
      </c>
      <c r="B159" s="41" t="s">
        <v>35</v>
      </c>
      <c r="C159" s="41" t="s">
        <v>39</v>
      </c>
      <c r="D159" s="41" t="s">
        <v>45</v>
      </c>
      <c r="E159" s="41" t="s">
        <v>25</v>
      </c>
      <c r="F159" s="41" t="s">
        <v>25</v>
      </c>
      <c r="G159" s="41" t="s">
        <v>25</v>
      </c>
      <c r="H159" s="41" t="s">
        <v>37</v>
      </c>
      <c r="I159" s="61">
        <v>44621</v>
      </c>
      <c r="J159" s="62">
        <f>EFEITO!$J$159*EFEITO!$Y$159</f>
        <v>0</v>
      </c>
      <c r="K159" s="62">
        <f ca="1">EFEITO!$L$159*EFEITO!$Z$159</f>
        <v>220.64107978235495</v>
      </c>
      <c r="L159" s="62">
        <f>EFEITO!$N$159*EFEITO!$AA$159</f>
        <v>11.476303197127152</v>
      </c>
      <c r="M159" s="62">
        <f>$J$159-EFEITO!$K$159*EFEITO!$Y$159</f>
        <v>0</v>
      </c>
      <c r="N159" s="62">
        <f ca="1">$K$159-EFEITO!$M$159*EFEITO!$Z$159</f>
        <v>0</v>
      </c>
      <c r="O159" s="62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41" t="s">
        <v>21</v>
      </c>
      <c r="B160" s="41" t="s">
        <v>35</v>
      </c>
      <c r="C160" s="41" t="s">
        <v>39</v>
      </c>
      <c r="D160" s="41" t="s">
        <v>45</v>
      </c>
      <c r="E160" s="41" t="s">
        <v>25</v>
      </c>
      <c r="F160" s="41" t="s">
        <v>25</v>
      </c>
      <c r="G160" s="41" t="s">
        <v>25</v>
      </c>
      <c r="H160" s="41" t="s">
        <v>37</v>
      </c>
      <c r="I160" s="61">
        <v>44652</v>
      </c>
      <c r="J160" s="62">
        <f>EFEITO!$J$160*EFEITO!$Y$160</f>
        <v>0</v>
      </c>
      <c r="K160" s="62">
        <f ca="1">EFEITO!$L$160*EFEITO!$Z$160</f>
        <v>375.61517153424705</v>
      </c>
      <c r="L160" s="62">
        <f>EFEITO!$N$160*EFEITO!$AA$160</f>
        <v>19.537039966537886</v>
      </c>
      <c r="M160" s="62">
        <f>$J$160-EFEITO!$K$160*EFEITO!$Y$160</f>
        <v>0</v>
      </c>
      <c r="N160" s="62">
        <f ca="1">$K$160-EFEITO!$M$160*EFEITO!$Z$160</f>
        <v>0</v>
      </c>
      <c r="O160" s="62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41" t="s">
        <v>21</v>
      </c>
      <c r="B161" s="41" t="s">
        <v>35</v>
      </c>
      <c r="C161" s="41" t="s">
        <v>39</v>
      </c>
      <c r="D161" s="41" t="s">
        <v>45</v>
      </c>
      <c r="E161" s="41" t="s">
        <v>25</v>
      </c>
      <c r="F161" s="41" t="s">
        <v>25</v>
      </c>
      <c r="G161" s="41" t="s">
        <v>25</v>
      </c>
      <c r="H161" s="41" t="s">
        <v>37</v>
      </c>
      <c r="I161" s="61">
        <v>44682</v>
      </c>
      <c r="J161" s="62">
        <f>EFEITO!$J$161*EFEITO!$Y$161</f>
        <v>0</v>
      </c>
      <c r="K161" s="62">
        <f ca="1">EFEITO!$L$161*EFEITO!$Z$161</f>
        <v>228.52111834601044</v>
      </c>
      <c r="L161" s="62">
        <f>EFEITO!$N$161*EFEITO!$AA$161</f>
        <v>11.886171168453121</v>
      </c>
      <c r="M161" s="62">
        <f>$J$161-EFEITO!$K$161*EFEITO!$Y$161</f>
        <v>0</v>
      </c>
      <c r="N161" s="62">
        <f ca="1">$K$161-EFEITO!$M$161*EFEITO!$Z$161</f>
        <v>0</v>
      </c>
      <c r="O161" s="62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41" t="s">
        <v>21</v>
      </c>
      <c r="B162" s="41" t="s">
        <v>35</v>
      </c>
      <c r="C162" s="41" t="s">
        <v>39</v>
      </c>
      <c r="D162" s="41" t="s">
        <v>45</v>
      </c>
      <c r="E162" s="41" t="s">
        <v>25</v>
      </c>
      <c r="F162" s="41" t="s">
        <v>25</v>
      </c>
      <c r="G162" s="41" t="s">
        <v>25</v>
      </c>
      <c r="H162" s="41" t="s">
        <v>37</v>
      </c>
      <c r="I162" s="61">
        <v>44713</v>
      </c>
      <c r="J162" s="62">
        <f>EFEITO!$J$162*EFEITO!$Y$162</f>
        <v>0</v>
      </c>
      <c r="K162" s="62">
        <f ca="1">EFEITO!$L$162*EFEITO!$Z$162</f>
        <v>239.02783643088452</v>
      </c>
      <c r="L162" s="62">
        <f>EFEITO!$N$162*EFEITO!$AA$162</f>
        <v>12.432661796887748</v>
      </c>
      <c r="M162" s="62">
        <f>$J$162-EFEITO!$K$162*EFEITO!$Y$162</f>
        <v>0</v>
      </c>
      <c r="N162" s="62">
        <f ca="1">$K$162-EFEITO!$M$162*EFEITO!$Z$162</f>
        <v>0</v>
      </c>
      <c r="O162" s="62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41" t="s">
        <v>21</v>
      </c>
      <c r="B163" s="41" t="s">
        <v>35</v>
      </c>
      <c r="C163" s="41" t="s">
        <v>39</v>
      </c>
      <c r="D163" s="41" t="s">
        <v>45</v>
      </c>
      <c r="E163" s="41" t="s">
        <v>25</v>
      </c>
      <c r="F163" s="41" t="s">
        <v>25</v>
      </c>
      <c r="G163" s="41" t="s">
        <v>25</v>
      </c>
      <c r="H163" s="41" t="s">
        <v>37</v>
      </c>
      <c r="I163" s="61">
        <v>44743</v>
      </c>
      <c r="J163" s="62">
        <f>EFEITO!$J$163*EFEITO!$Y$163</f>
        <v>0</v>
      </c>
      <c r="K163" s="62">
        <f ca="1">EFEITO!$L$163*EFEITO!$Z$163</f>
        <v>228.52111834601044</v>
      </c>
      <c r="L163" s="62">
        <f>EFEITO!$N$163*EFEITO!$AA$163</f>
        <v>11.886171168453121</v>
      </c>
      <c r="M163" s="62">
        <f>$J$163-EFEITO!$K$163*EFEITO!$Y$163</f>
        <v>0</v>
      </c>
      <c r="N163" s="62">
        <f ca="1">$K$163-EFEITO!$M$163*EFEITO!$Z$163</f>
        <v>0</v>
      </c>
      <c r="O163" s="62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41" t="s">
        <v>55</v>
      </c>
      <c r="B164" s="41" t="s">
        <v>35</v>
      </c>
      <c r="C164" s="41" t="s">
        <v>39</v>
      </c>
      <c r="D164" s="41" t="s">
        <v>45</v>
      </c>
      <c r="E164" s="41" t="s">
        <v>25</v>
      </c>
      <c r="F164" s="41" t="s">
        <v>25</v>
      </c>
      <c r="G164" s="41" t="s">
        <v>25</v>
      </c>
      <c r="H164" s="41" t="s">
        <v>37</v>
      </c>
      <c r="I164" s="61">
        <v>44774</v>
      </c>
      <c r="J164" s="62">
        <f>EFEITO!$J$164*EFEITO!$Y$164</f>
        <v>0</v>
      </c>
      <c r="K164" s="62">
        <f ca="1">EFEITO!$L$164*EFEITO!$Z$164</f>
        <v>228.52111834601044</v>
      </c>
      <c r="L164" s="62">
        <f>EFEITO!$N$164*EFEITO!$AA$164</f>
        <v>11.886171168453121</v>
      </c>
      <c r="M164" s="62">
        <f>$J$164-EFEITO!$K$164*EFEITO!$Y$164</f>
        <v>0</v>
      </c>
      <c r="N164" s="62">
        <f ca="1">$K$164-EFEITO!$M$164*EFEITO!$Z$164</f>
        <v>0</v>
      </c>
      <c r="O164" s="62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41" t="s">
        <v>21</v>
      </c>
      <c r="B165" s="41" t="s">
        <v>35</v>
      </c>
      <c r="C165" s="41" t="s">
        <v>39</v>
      </c>
      <c r="D165" s="41" t="s">
        <v>44</v>
      </c>
      <c r="E165" s="41" t="s">
        <v>25</v>
      </c>
      <c r="F165" s="41" t="s">
        <v>25</v>
      </c>
      <c r="G165" s="41" t="s">
        <v>25</v>
      </c>
      <c r="H165" s="41" t="s">
        <v>38</v>
      </c>
      <c r="I165" s="61">
        <v>44440</v>
      </c>
      <c r="J165" s="62">
        <f>EFEITO!$J$165*EFEITO!$Y$140</f>
        <v>0</v>
      </c>
      <c r="K165" s="62">
        <f ca="1">EFEITO!$L$165*EFEITO!$Z$140</f>
        <v>3351.3139032885711</v>
      </c>
      <c r="L165" s="62">
        <f>EFEITO!$N$165*EFEITO!$AA$140</f>
        <v>4844.2295531016362</v>
      </c>
      <c r="M165" s="62">
        <f>$J$165-EFEITO!$K$165*EFEITO!$Y$165</f>
        <v>0</v>
      </c>
      <c r="N165" s="62">
        <f ca="1">$K$165-EFEITO!$M$165*EFEITO!$Z$165</f>
        <v>67.026278065771294</v>
      </c>
      <c r="O165" s="62">
        <f>$L$165-EFEITO!$O$165*EFEITO!$AA$165</f>
        <v>96.884591062032996</v>
      </c>
      <c r="P165" s="45"/>
      <c r="Q165" s="45"/>
      <c r="R165" s="45"/>
      <c r="S165" s="45"/>
      <c r="T165" s="45"/>
      <c r="U165" s="45"/>
      <c r="V165" s="45"/>
      <c r="W165" s="45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41" t="s">
        <v>21</v>
      </c>
      <c r="B166" s="41" t="s">
        <v>35</v>
      </c>
      <c r="C166" s="41" t="s">
        <v>39</v>
      </c>
      <c r="D166" s="41" t="s">
        <v>44</v>
      </c>
      <c r="E166" s="41" t="s">
        <v>25</v>
      </c>
      <c r="F166" s="41" t="s">
        <v>25</v>
      </c>
      <c r="G166" s="41" t="s">
        <v>25</v>
      </c>
      <c r="H166" s="41" t="s">
        <v>38</v>
      </c>
      <c r="I166" s="61">
        <v>44470</v>
      </c>
      <c r="J166" s="62">
        <f>EFEITO!$J$166*EFEITO!$Y$140</f>
        <v>0</v>
      </c>
      <c r="K166" s="62">
        <f ca="1">EFEITO!$L$166*EFEITO!$Z$140</f>
        <v>3411.7107102435129</v>
      </c>
      <c r="L166" s="62">
        <f>EFEITO!$N$166*EFEITO!$AA$140</f>
        <v>4931.5314309940668</v>
      </c>
      <c r="M166" s="62">
        <f>$J$166-EFEITO!$K$166*EFEITO!$Y$166</f>
        <v>0</v>
      </c>
      <c r="N166" s="62">
        <f ca="1">$K$166-EFEITO!$M$166*EFEITO!$Z$166</f>
        <v>68.234214204870113</v>
      </c>
      <c r="O166" s="62">
        <f>$L$166-EFEITO!$O$166*EFEITO!$AA$166</f>
        <v>98.630628619881463</v>
      </c>
      <c r="P166" s="45"/>
      <c r="Q166" s="45"/>
      <c r="R166" s="45"/>
      <c r="S166" s="45"/>
      <c r="T166" s="45"/>
      <c r="U166" s="45"/>
      <c r="V166" s="45"/>
      <c r="W166" s="45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41" t="s">
        <v>21</v>
      </c>
      <c r="B167" s="41" t="s">
        <v>35</v>
      </c>
      <c r="C167" s="41" t="s">
        <v>39</v>
      </c>
      <c r="D167" s="41" t="s">
        <v>44</v>
      </c>
      <c r="E167" s="41" t="s">
        <v>25</v>
      </c>
      <c r="F167" s="41" t="s">
        <v>25</v>
      </c>
      <c r="G167" s="41" t="s">
        <v>25</v>
      </c>
      <c r="H167" s="41" t="s">
        <v>38</v>
      </c>
      <c r="I167" s="61">
        <v>44501</v>
      </c>
      <c r="J167" s="62">
        <f>EFEITO!$J$167*EFEITO!$Y$140</f>
        <v>0</v>
      </c>
      <c r="K167" s="62">
        <f ca="1">EFEITO!$L$167*EFEITO!$Z$140</f>
        <v>3565.3019642369113</v>
      </c>
      <c r="L167" s="62">
        <f>EFEITO!$N$167*EFEITO!$AA$140</f>
        <v>5153.5432487956341</v>
      </c>
      <c r="M167" s="62">
        <f>$J$167-EFEITO!$K$167*EFEITO!$Y$167</f>
        <v>0</v>
      </c>
      <c r="N167" s="62">
        <f ca="1">$K$167-EFEITO!$M$167*EFEITO!$Z$167</f>
        <v>71.306039284737835</v>
      </c>
      <c r="O167" s="62">
        <f>$L$167-EFEITO!$O$167*EFEITO!$AA$167</f>
        <v>103.07086497591354</v>
      </c>
      <c r="P167" s="45"/>
      <c r="Q167" s="45"/>
      <c r="R167" s="45"/>
      <c r="S167" s="45"/>
      <c r="T167" s="45"/>
      <c r="U167" s="45"/>
      <c r="V167" s="45"/>
      <c r="W167" s="45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41" t="s">
        <v>21</v>
      </c>
      <c r="B168" s="41" t="s">
        <v>35</v>
      </c>
      <c r="C168" s="41" t="s">
        <v>39</v>
      </c>
      <c r="D168" s="41" t="s">
        <v>44</v>
      </c>
      <c r="E168" s="41" t="s">
        <v>25</v>
      </c>
      <c r="F168" s="41" t="s">
        <v>25</v>
      </c>
      <c r="G168" s="41" t="s">
        <v>25</v>
      </c>
      <c r="H168" s="41" t="s">
        <v>38</v>
      </c>
      <c r="I168" s="61">
        <v>44531</v>
      </c>
      <c r="J168" s="62">
        <f>EFEITO!$J$168*EFEITO!$Y$140</f>
        <v>0</v>
      </c>
      <c r="K168" s="62">
        <f ca="1">EFEITO!$L$168*EFEITO!$Z$140</f>
        <v>3779.8571313538437</v>
      </c>
      <c r="L168" s="62">
        <f>EFEITO!$N$168*EFEITO!$AA$140</f>
        <v>5463.6766804322851</v>
      </c>
      <c r="M168" s="62">
        <f>$J$168-EFEITO!$K$168*EFEITO!$Y$168</f>
        <v>0</v>
      </c>
      <c r="N168" s="62">
        <f ca="1">$K$168-EFEITO!$M$168*EFEITO!$Z$168</f>
        <v>75.597142627076664</v>
      </c>
      <c r="O168" s="62">
        <f>$L$168-EFEITO!$O$168*EFEITO!$AA$168</f>
        <v>109.27353360864618</v>
      </c>
      <c r="P168" s="45"/>
      <c r="Q168" s="45"/>
      <c r="R168" s="45"/>
      <c r="S168" s="45"/>
      <c r="T168" s="45"/>
      <c r="U168" s="45"/>
      <c r="V168" s="45"/>
      <c r="W168" s="45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41" t="s">
        <v>21</v>
      </c>
      <c r="B169" s="41" t="s">
        <v>35</v>
      </c>
      <c r="C169" s="41" t="s">
        <v>39</v>
      </c>
      <c r="D169" s="41" t="s">
        <v>44</v>
      </c>
      <c r="E169" s="41" t="s">
        <v>25</v>
      </c>
      <c r="F169" s="41" t="s">
        <v>25</v>
      </c>
      <c r="G169" s="41" t="s">
        <v>25</v>
      </c>
      <c r="H169" s="41" t="s">
        <v>38</v>
      </c>
      <c r="I169" s="61">
        <v>44562</v>
      </c>
      <c r="J169" s="62">
        <f>EFEITO!$J$169*EFEITO!$Y$140</f>
        <v>0</v>
      </c>
      <c r="K169" s="62">
        <f ca="1">EFEITO!$L$169*EFEITO!$Z$140</f>
        <v>3832.3144519485122</v>
      </c>
      <c r="L169" s="62">
        <f>EFEITO!$N$169*EFEITO!$AA$140</f>
        <v>5539.5022551275888</v>
      </c>
      <c r="M169" s="62">
        <f>$J$169-EFEITO!$K$169*EFEITO!$Y$169</f>
        <v>0</v>
      </c>
      <c r="N169" s="62">
        <f ca="1">$K$169-EFEITO!$M$169*EFEITO!$Z$169</f>
        <v>76.646289038970281</v>
      </c>
      <c r="O169" s="62">
        <f>$L$169-EFEITO!$O$169*EFEITO!$AA$169</f>
        <v>110.79004510255163</v>
      </c>
      <c r="P169" s="45"/>
      <c r="Q169" s="45"/>
      <c r="R169" s="45"/>
      <c r="S169" s="45"/>
      <c r="T169" s="45"/>
      <c r="U169" s="45"/>
      <c r="V169" s="45"/>
      <c r="W169" s="45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41" t="s">
        <v>21</v>
      </c>
      <c r="B170" s="41" t="s">
        <v>35</v>
      </c>
      <c r="C170" s="41" t="s">
        <v>39</v>
      </c>
      <c r="D170" s="41" t="s">
        <v>44</v>
      </c>
      <c r="E170" s="41" t="s">
        <v>25</v>
      </c>
      <c r="F170" s="41" t="s">
        <v>25</v>
      </c>
      <c r="G170" s="41" t="s">
        <v>25</v>
      </c>
      <c r="H170" s="41" t="s">
        <v>38</v>
      </c>
      <c r="I170" s="61">
        <v>44593</v>
      </c>
      <c r="J170" s="62">
        <f>EFEITO!$J$170*EFEITO!$Y$140</f>
        <v>0</v>
      </c>
      <c r="K170" s="62">
        <f ca="1">EFEITO!$L$170*EFEITO!$Z$140</f>
        <v>3827.588567210254</v>
      </c>
      <c r="L170" s="62">
        <f>EFEITO!$N$170*EFEITO!$AA$140</f>
        <v>5532.6711222721569</v>
      </c>
      <c r="M170" s="62">
        <f>$J$170-EFEITO!$K$170*EFEITO!$Y$170</f>
        <v>0</v>
      </c>
      <c r="N170" s="62">
        <f ca="1">$K$170-EFEITO!$M$170*EFEITO!$Z$170</f>
        <v>76.551771344205008</v>
      </c>
      <c r="O170" s="62">
        <f>$L$170-EFEITO!$O$170*EFEITO!$AA$170</f>
        <v>110.65342244544354</v>
      </c>
      <c r="P170" s="45"/>
      <c r="Q170" s="45"/>
      <c r="R170" s="45"/>
      <c r="S170" s="45"/>
      <c r="T170" s="45"/>
      <c r="U170" s="45"/>
      <c r="V170" s="45"/>
      <c r="W170" s="45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41" t="s">
        <v>21</v>
      </c>
      <c r="B171" s="41" t="s">
        <v>35</v>
      </c>
      <c r="C171" s="41" t="s">
        <v>39</v>
      </c>
      <c r="D171" s="41" t="s">
        <v>44</v>
      </c>
      <c r="E171" s="41" t="s">
        <v>25</v>
      </c>
      <c r="F171" s="41" t="s">
        <v>25</v>
      </c>
      <c r="G171" s="41" t="s">
        <v>25</v>
      </c>
      <c r="H171" s="41" t="s">
        <v>38</v>
      </c>
      <c r="I171" s="61">
        <v>44621</v>
      </c>
      <c r="J171" s="62">
        <f>EFEITO!$J$171*EFEITO!$Y$140</f>
        <v>0</v>
      </c>
      <c r="K171" s="62">
        <f ca="1">EFEITO!$L$171*EFEITO!$Z$140</f>
        <v>3760.9535924008101</v>
      </c>
      <c r="L171" s="62">
        <f>EFEITO!$N$171*EFEITO!$AA$140</f>
        <v>5436.3521490105531</v>
      </c>
      <c r="M171" s="62">
        <f>$J$171-EFEITO!$K$171*EFEITO!$Y$171</f>
        <v>0</v>
      </c>
      <c r="N171" s="62">
        <f ca="1">$K$171-EFEITO!$M$171*EFEITO!$Z$171</f>
        <v>75.219071848016483</v>
      </c>
      <c r="O171" s="62">
        <f>$L$171-EFEITO!$O$171*EFEITO!$AA$171</f>
        <v>108.72704298021199</v>
      </c>
      <c r="P171" s="45"/>
      <c r="Q171" s="45"/>
      <c r="R171" s="45"/>
      <c r="S171" s="45"/>
      <c r="T171" s="45"/>
      <c r="U171" s="45"/>
      <c r="V171" s="45"/>
      <c r="W171" s="45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41" t="s">
        <v>21</v>
      </c>
      <c r="B172" s="41" t="s">
        <v>35</v>
      </c>
      <c r="C172" s="41" t="s">
        <v>39</v>
      </c>
      <c r="D172" s="41" t="s">
        <v>44</v>
      </c>
      <c r="E172" s="41" t="s">
        <v>25</v>
      </c>
      <c r="F172" s="41" t="s">
        <v>25</v>
      </c>
      <c r="G172" s="41" t="s">
        <v>25</v>
      </c>
      <c r="H172" s="41" t="s">
        <v>38</v>
      </c>
      <c r="I172" s="61">
        <v>44652</v>
      </c>
      <c r="J172" s="62">
        <f>EFEITO!$J$172*EFEITO!$Y$140</f>
        <v>0</v>
      </c>
      <c r="K172" s="62">
        <f ca="1">EFEITO!$L$172*EFEITO!$Z$140</f>
        <v>3632.5985629097117</v>
      </c>
      <c r="L172" s="62">
        <f>EFEITO!$N$172*EFEITO!$AA$140</f>
        <v>5250.8185806569982</v>
      </c>
      <c r="M172" s="62">
        <f>$J$172-EFEITO!$K$172*EFEITO!$Y$172</f>
        <v>0</v>
      </c>
      <c r="N172" s="62">
        <f ca="1">$K$172-EFEITO!$M$172*EFEITO!$Z$172</f>
        <v>72.651971258194408</v>
      </c>
      <c r="O172" s="62">
        <f>$L$172-EFEITO!$O$172*EFEITO!$AA$172</f>
        <v>105.01637161314102</v>
      </c>
      <c r="P172" s="45"/>
      <c r="Q172" s="45"/>
      <c r="R172" s="45"/>
      <c r="S172" s="45"/>
      <c r="T172" s="45"/>
      <c r="U172" s="45"/>
      <c r="V172" s="45"/>
      <c r="W172" s="4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41" t="s">
        <v>21</v>
      </c>
      <c r="B173" s="41" t="s">
        <v>35</v>
      </c>
      <c r="C173" s="41" t="s">
        <v>39</v>
      </c>
      <c r="D173" s="41" t="s">
        <v>44</v>
      </c>
      <c r="E173" s="41" t="s">
        <v>25</v>
      </c>
      <c r="F173" s="41" t="s">
        <v>25</v>
      </c>
      <c r="G173" s="41" t="s">
        <v>25</v>
      </c>
      <c r="H173" s="41" t="s">
        <v>38</v>
      </c>
      <c r="I173" s="61">
        <v>44682</v>
      </c>
      <c r="J173" s="62">
        <f>EFEITO!$J$173*EFEITO!$Y$140</f>
        <v>0</v>
      </c>
      <c r="K173" s="62">
        <f ca="1">EFEITO!$L$173*EFEITO!$Z$140</f>
        <v>3283.4501984471799</v>
      </c>
      <c r="L173" s="62">
        <f>EFEITO!$N$173*EFEITO!$AA$140</f>
        <v>4746.1344852976199</v>
      </c>
      <c r="M173" s="62">
        <f>$J$173-EFEITO!$K$173*EFEITO!$Y$173</f>
        <v>0</v>
      </c>
      <c r="N173" s="62">
        <f ca="1">$K$173-EFEITO!$M$173*EFEITO!$Z$173</f>
        <v>65.669003968943798</v>
      </c>
      <c r="O173" s="62">
        <f>$L$173-EFEITO!$O$173*EFEITO!$AA$173</f>
        <v>94.922689705952507</v>
      </c>
      <c r="P173" s="45"/>
      <c r="Q173" s="45"/>
      <c r="R173" s="45"/>
      <c r="S173" s="45"/>
      <c r="T173" s="45"/>
      <c r="U173" s="45"/>
      <c r="V173" s="45"/>
      <c r="W173" s="45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41" t="s">
        <v>21</v>
      </c>
      <c r="B174" s="41" t="s">
        <v>35</v>
      </c>
      <c r="C174" s="41" t="s">
        <v>39</v>
      </c>
      <c r="D174" s="41" t="s">
        <v>44</v>
      </c>
      <c r="E174" s="41" t="s">
        <v>25</v>
      </c>
      <c r="F174" s="41" t="s">
        <v>25</v>
      </c>
      <c r="G174" s="41" t="s">
        <v>25</v>
      </c>
      <c r="H174" s="41" t="s">
        <v>38</v>
      </c>
      <c r="I174" s="61">
        <v>44713</v>
      </c>
      <c r="J174" s="62">
        <f>EFEITO!$J$174*EFEITO!$Y$140</f>
        <v>0</v>
      </c>
      <c r="K174" s="62">
        <f ca="1">EFEITO!$L$174*EFEITO!$Z$140</f>
        <v>3167.2879515807881</v>
      </c>
      <c r="L174" s="62">
        <f>EFEITO!$N$174*EFEITO!$AA$140</f>
        <v>4578.2252397110815</v>
      </c>
      <c r="M174" s="62">
        <f>$J$174-EFEITO!$K$174*EFEITO!$Y$174</f>
        <v>0</v>
      </c>
      <c r="N174" s="62">
        <f ca="1">$K$174-EFEITO!$M$174*EFEITO!$Z$174</f>
        <v>63.345759031615671</v>
      </c>
      <c r="O174" s="62">
        <f>$L$174-EFEITO!$O$174*EFEITO!$AA$174</f>
        <v>91.564504794222557</v>
      </c>
      <c r="P174" s="45"/>
      <c r="Q174" s="45"/>
      <c r="R174" s="45"/>
      <c r="S174" s="45"/>
      <c r="T174" s="45"/>
      <c r="U174" s="45"/>
      <c r="V174" s="45"/>
      <c r="W174" s="45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41" t="s">
        <v>21</v>
      </c>
      <c r="B175" s="41" t="s">
        <v>35</v>
      </c>
      <c r="C175" s="41" t="s">
        <v>39</v>
      </c>
      <c r="D175" s="41" t="s">
        <v>44</v>
      </c>
      <c r="E175" s="41" t="s">
        <v>25</v>
      </c>
      <c r="F175" s="41" t="s">
        <v>25</v>
      </c>
      <c r="G175" s="41" t="s">
        <v>25</v>
      </c>
      <c r="H175" s="41" t="s">
        <v>38</v>
      </c>
      <c r="I175" s="61">
        <v>44743</v>
      </c>
      <c r="J175" s="62">
        <f>EFEITO!$J$175*EFEITO!$Y$140</f>
        <v>0</v>
      </c>
      <c r="K175" s="62">
        <f ca="1">EFEITO!$L$175*EFEITO!$Z$140</f>
        <v>3112.6567240065215</v>
      </c>
      <c r="L175" s="62">
        <f>EFEITO!$N$175*EFEITO!$AA$140</f>
        <v>4499.2573439022781</v>
      </c>
      <c r="M175" s="62">
        <f>$J$175-EFEITO!$K$175*EFEITO!$Y$175</f>
        <v>0</v>
      </c>
      <c r="N175" s="62">
        <f ca="1">$K$175-EFEITO!$M$175*EFEITO!$Z$175</f>
        <v>62.253134480130484</v>
      </c>
      <c r="O175" s="62">
        <f>$L$175-EFEITO!$O$175*EFEITO!$AA$175</f>
        <v>89.985146878045271</v>
      </c>
      <c r="P175" s="45"/>
      <c r="Q175" s="45"/>
      <c r="R175" s="45"/>
      <c r="S175" s="45"/>
      <c r="T175" s="45"/>
      <c r="U175" s="45"/>
      <c r="V175" s="45"/>
      <c r="W175" s="4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41" t="s">
        <v>55</v>
      </c>
      <c r="B176" s="41" t="s">
        <v>35</v>
      </c>
      <c r="C176" s="41" t="s">
        <v>39</v>
      </c>
      <c r="D176" s="41" t="s">
        <v>44</v>
      </c>
      <c r="E176" s="41" t="s">
        <v>25</v>
      </c>
      <c r="F176" s="41" t="s">
        <v>25</v>
      </c>
      <c r="G176" s="41" t="s">
        <v>25</v>
      </c>
      <c r="H176" s="41" t="s">
        <v>38</v>
      </c>
      <c r="I176" s="61">
        <v>44774</v>
      </c>
      <c r="J176" s="62">
        <f>EFEITO!$J$176*EFEITO!$Y$140</f>
        <v>0</v>
      </c>
      <c r="K176" s="62">
        <f ca="1">EFEITO!$L$176*EFEITO!$Z$140</f>
        <v>3112.6567240065215</v>
      </c>
      <c r="L176" s="62">
        <f>EFEITO!$N$176*EFEITO!$AA$140</f>
        <v>4499.2573439022781</v>
      </c>
      <c r="M176" s="62">
        <f>$J$176-EFEITO!$K$176*EFEITO!$Y$176</f>
        <v>0</v>
      </c>
      <c r="N176" s="62">
        <f ca="1">$K$176-EFEITO!$M$176*EFEITO!$Z$176</f>
        <v>62.253134480130484</v>
      </c>
      <c r="O176" s="62">
        <f>$L$176-EFEITO!$O$176*EFEITO!$AA$176</f>
        <v>89.985146878045271</v>
      </c>
      <c r="P176" s="45"/>
      <c r="Q176" s="45"/>
      <c r="R176" s="45"/>
      <c r="S176" s="45"/>
      <c r="T176" s="45"/>
      <c r="U176" s="45"/>
      <c r="V176" s="45"/>
      <c r="W176" s="4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41" t="s">
        <v>21</v>
      </c>
      <c r="B177" s="41" t="s">
        <v>35</v>
      </c>
      <c r="C177" s="41" t="s">
        <v>39</v>
      </c>
      <c r="D177" s="41" t="s">
        <v>44</v>
      </c>
      <c r="E177" s="41" t="s">
        <v>25</v>
      </c>
      <c r="F177" s="41" t="s">
        <v>25</v>
      </c>
      <c r="G177" s="41" t="s">
        <v>25</v>
      </c>
      <c r="H177" s="41" t="s">
        <v>25</v>
      </c>
      <c r="I177" s="61">
        <v>44440</v>
      </c>
      <c r="J177" s="62">
        <f ca="1">EFEITO!$J$177*EFEITO!$Y$152</f>
        <v>5054.7279095249114</v>
      </c>
      <c r="K177" s="62">
        <f>EFEITO!$L$177*EFEITO!$Z$152</f>
        <v>0</v>
      </c>
      <c r="L177" s="62">
        <f>EFEITO!$N$177*EFEITO!$AA$152</f>
        <v>0</v>
      </c>
      <c r="M177" s="62">
        <f ca="1">$J$177-EFEITO!$K$177*EFEITO!$Y$177</f>
        <v>101.09455819049799</v>
      </c>
      <c r="N177" s="62">
        <f>$K$177-EFEITO!$M$177*EFEITO!$Z$177</f>
        <v>0</v>
      </c>
      <c r="O177" s="62">
        <f>$L$177-EFEITO!$O$177*EFEITO!$AA$177</f>
        <v>0</v>
      </c>
      <c r="P177" s="45"/>
      <c r="Q177" s="45"/>
      <c r="R177" s="45"/>
      <c r="S177" s="45"/>
      <c r="T177" s="45"/>
      <c r="U177" s="45"/>
      <c r="V177" s="45"/>
      <c r="W177" s="4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41" t="s">
        <v>21</v>
      </c>
      <c r="B178" s="41" t="s">
        <v>35</v>
      </c>
      <c r="C178" s="41" t="s">
        <v>39</v>
      </c>
      <c r="D178" s="41" t="s">
        <v>44</v>
      </c>
      <c r="E178" s="41" t="s">
        <v>25</v>
      </c>
      <c r="F178" s="41" t="s">
        <v>25</v>
      </c>
      <c r="G178" s="41" t="s">
        <v>25</v>
      </c>
      <c r="H178" s="41" t="s">
        <v>25</v>
      </c>
      <c r="I178" s="61">
        <v>44470</v>
      </c>
      <c r="J178" s="62">
        <f ca="1">EFEITO!$J$178*EFEITO!$Y$152</f>
        <v>5356.5027100935622</v>
      </c>
      <c r="K178" s="62">
        <f>EFEITO!$L$178*EFEITO!$Z$152</f>
        <v>0</v>
      </c>
      <c r="L178" s="62">
        <f>EFEITO!$N$178*EFEITO!$AA$152</f>
        <v>0</v>
      </c>
      <c r="M178" s="62">
        <f ca="1">$J$178-EFEITO!$K$178*EFEITO!$Y$178</f>
        <v>107.13005420187073</v>
      </c>
      <c r="N178" s="62">
        <f>$K$178-EFEITO!$M$178*EFEITO!$Z$178</f>
        <v>0</v>
      </c>
      <c r="O178" s="62">
        <f>$L$178-EFEITO!$O$178*EFEITO!$AA$178</f>
        <v>0</v>
      </c>
      <c r="P178" s="45"/>
      <c r="Q178" s="45"/>
      <c r="R178" s="45"/>
      <c r="S178" s="45"/>
      <c r="T178" s="45"/>
      <c r="U178" s="45"/>
      <c r="V178" s="45"/>
      <c r="W178" s="4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41" t="s">
        <v>21</v>
      </c>
      <c r="B179" s="41" t="s">
        <v>35</v>
      </c>
      <c r="C179" s="41" t="s">
        <v>39</v>
      </c>
      <c r="D179" s="41" t="s">
        <v>44</v>
      </c>
      <c r="E179" s="41" t="s">
        <v>25</v>
      </c>
      <c r="F179" s="41" t="s">
        <v>25</v>
      </c>
      <c r="G179" s="41" t="s">
        <v>25</v>
      </c>
      <c r="H179" s="41" t="s">
        <v>25</v>
      </c>
      <c r="I179" s="61">
        <v>44501</v>
      </c>
      <c r="J179" s="62">
        <f ca="1">EFEITO!$J$179*EFEITO!$Y$152</f>
        <v>5771.4430608754583</v>
      </c>
      <c r="K179" s="62">
        <f>EFEITO!$L$179*EFEITO!$Z$152</f>
        <v>0</v>
      </c>
      <c r="L179" s="62">
        <f>EFEITO!$N$179*EFEITO!$AA$152</f>
        <v>0</v>
      </c>
      <c r="M179" s="62">
        <f ca="1">$J$179-EFEITO!$K$179*EFEITO!$Y$179</f>
        <v>115.42886121750871</v>
      </c>
      <c r="N179" s="62">
        <f>$K$179-EFEITO!$M$179*EFEITO!$Z$179</f>
        <v>0</v>
      </c>
      <c r="O179" s="62">
        <f>$L$179-EFEITO!$O$179*EFEITO!$AA$179</f>
        <v>0</v>
      </c>
      <c r="P179" s="45"/>
      <c r="Q179" s="45"/>
      <c r="R179" s="45"/>
      <c r="S179" s="45"/>
      <c r="T179" s="45"/>
      <c r="U179" s="45"/>
      <c r="V179" s="45"/>
      <c r="W179" s="4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41" t="s">
        <v>21</v>
      </c>
      <c r="B180" s="41" t="s">
        <v>35</v>
      </c>
      <c r="C180" s="41" t="s">
        <v>39</v>
      </c>
      <c r="D180" s="41" t="s">
        <v>44</v>
      </c>
      <c r="E180" s="41" t="s">
        <v>25</v>
      </c>
      <c r="F180" s="41" t="s">
        <v>25</v>
      </c>
      <c r="G180" s="41" t="s">
        <v>25</v>
      </c>
      <c r="H180" s="41" t="s">
        <v>25</v>
      </c>
      <c r="I180" s="61">
        <v>44531</v>
      </c>
      <c r="J180" s="62">
        <f ca="1">EFEITO!$J$180*EFEITO!$Y$152</f>
        <v>5658.2775106622139</v>
      </c>
      <c r="K180" s="62">
        <f>EFEITO!$L$180*EFEITO!$Z$152</f>
        <v>0</v>
      </c>
      <c r="L180" s="62">
        <f>EFEITO!$N$180*EFEITO!$AA$152</f>
        <v>0</v>
      </c>
      <c r="M180" s="62">
        <f ca="1">$J$180-EFEITO!$K$180*EFEITO!$Y$180</f>
        <v>113.16555021324439</v>
      </c>
      <c r="N180" s="62">
        <f>$K$180-EFEITO!$M$180*EFEITO!$Z$180</f>
        <v>0</v>
      </c>
      <c r="O180" s="62">
        <f>$L$180-EFEITO!$O$180*EFEITO!$AA$180</f>
        <v>0</v>
      </c>
      <c r="P180" s="45"/>
      <c r="Q180" s="45"/>
      <c r="R180" s="45"/>
      <c r="S180" s="45"/>
      <c r="T180" s="45"/>
      <c r="U180" s="45"/>
      <c r="V180" s="45"/>
      <c r="W180" s="4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41" t="s">
        <v>21</v>
      </c>
      <c r="B181" s="41" t="s">
        <v>35</v>
      </c>
      <c r="C181" s="41" t="s">
        <v>39</v>
      </c>
      <c r="D181" s="41" t="s">
        <v>44</v>
      </c>
      <c r="E181" s="41" t="s">
        <v>25</v>
      </c>
      <c r="F181" s="41" t="s">
        <v>25</v>
      </c>
      <c r="G181" s="41" t="s">
        <v>25</v>
      </c>
      <c r="H181" s="41" t="s">
        <v>25</v>
      </c>
      <c r="I181" s="61">
        <v>44562</v>
      </c>
      <c r="J181" s="62">
        <f ca="1">EFEITO!$J$181*EFEITO!$Y$152</f>
        <v>6299.5489618705979</v>
      </c>
      <c r="K181" s="62">
        <f>EFEITO!$L$181*EFEITO!$Z$152</f>
        <v>0</v>
      </c>
      <c r="L181" s="62">
        <f>EFEITO!$N$181*EFEITO!$AA$152</f>
        <v>0</v>
      </c>
      <c r="M181" s="62">
        <f ca="1">$J$181-EFEITO!$K$181*EFEITO!$Y$181</f>
        <v>125.99097923741192</v>
      </c>
      <c r="N181" s="62">
        <f>$K$181-EFEITO!$M$181*EFEITO!$Z$181</f>
        <v>0</v>
      </c>
      <c r="O181" s="62">
        <f>$L$181-EFEITO!$O$181*EFEITO!$AA$181</f>
        <v>0</v>
      </c>
      <c r="P181" s="45"/>
      <c r="Q181" s="45"/>
      <c r="R181" s="45"/>
      <c r="S181" s="45"/>
      <c r="T181" s="45"/>
      <c r="U181" s="45"/>
      <c r="V181" s="45"/>
      <c r="W181" s="4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41" t="s">
        <v>21</v>
      </c>
      <c r="B182" s="41" t="s">
        <v>35</v>
      </c>
      <c r="C182" s="41" t="s">
        <v>39</v>
      </c>
      <c r="D182" s="41" t="s">
        <v>44</v>
      </c>
      <c r="E182" s="41" t="s">
        <v>25</v>
      </c>
      <c r="F182" s="41" t="s">
        <v>25</v>
      </c>
      <c r="G182" s="41" t="s">
        <v>25</v>
      </c>
      <c r="H182" s="41" t="s">
        <v>25</v>
      </c>
      <c r="I182" s="61">
        <v>44593</v>
      </c>
      <c r="J182" s="62">
        <f ca="1">EFEITO!$J$182*EFEITO!$Y$152</f>
        <v>6148.6615615862729</v>
      </c>
      <c r="K182" s="62">
        <f>EFEITO!$L$182*EFEITO!$Z$152</f>
        <v>0</v>
      </c>
      <c r="L182" s="62">
        <f>EFEITO!$N$182*EFEITO!$AA$152</f>
        <v>0</v>
      </c>
      <c r="M182" s="62">
        <f ca="1">$J$182-EFEITO!$K$182*EFEITO!$Y$182</f>
        <v>122.97323123172555</v>
      </c>
      <c r="N182" s="62">
        <f>$K$182-EFEITO!$M$182*EFEITO!$Z$182</f>
        <v>0</v>
      </c>
      <c r="O182" s="62">
        <f>$L$182-EFEITO!$O$182*EFEITO!$AA$182</f>
        <v>0</v>
      </c>
      <c r="P182" s="45"/>
      <c r="Q182" s="45"/>
      <c r="R182" s="45"/>
      <c r="S182" s="45"/>
      <c r="T182" s="45"/>
      <c r="U182" s="45"/>
      <c r="V182" s="45"/>
      <c r="W182" s="4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41" t="s">
        <v>21</v>
      </c>
      <c r="B183" s="41" t="s">
        <v>35</v>
      </c>
      <c r="C183" s="41" t="s">
        <v>39</v>
      </c>
      <c r="D183" s="41" t="s">
        <v>44</v>
      </c>
      <c r="E183" s="41" t="s">
        <v>25</v>
      </c>
      <c r="F183" s="41" t="s">
        <v>25</v>
      </c>
      <c r="G183" s="41" t="s">
        <v>25</v>
      </c>
      <c r="H183" s="41" t="s">
        <v>25</v>
      </c>
      <c r="I183" s="61">
        <v>44621</v>
      </c>
      <c r="J183" s="62">
        <f ca="1">EFEITO!$J$183*EFEITO!$Y$152</f>
        <v>5695.9993607332954</v>
      </c>
      <c r="K183" s="62">
        <f>EFEITO!$L$183*EFEITO!$Z$152</f>
        <v>0</v>
      </c>
      <c r="L183" s="62">
        <f>EFEITO!$N$183*EFEITO!$AA$152</f>
        <v>0</v>
      </c>
      <c r="M183" s="62">
        <f ca="1">$J$183-EFEITO!$K$183*EFEITO!$Y$183</f>
        <v>113.91998721466553</v>
      </c>
      <c r="N183" s="62">
        <f>$K$183-EFEITO!$M$183*EFEITO!$Z$183</f>
        <v>0</v>
      </c>
      <c r="O183" s="62">
        <f>$L$183-EFEITO!$O$183*EFEITO!$AA$183</f>
        <v>0</v>
      </c>
      <c r="P183" s="45"/>
      <c r="Q183" s="45"/>
      <c r="R183" s="45"/>
      <c r="S183" s="45"/>
      <c r="T183" s="45"/>
      <c r="U183" s="45"/>
      <c r="V183" s="45"/>
      <c r="W183" s="4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41" t="s">
        <v>21</v>
      </c>
      <c r="B184" s="41" t="s">
        <v>35</v>
      </c>
      <c r="C184" s="41" t="s">
        <v>39</v>
      </c>
      <c r="D184" s="41" t="s">
        <v>44</v>
      </c>
      <c r="E184" s="41" t="s">
        <v>25</v>
      </c>
      <c r="F184" s="41" t="s">
        <v>25</v>
      </c>
      <c r="G184" s="41" t="s">
        <v>25</v>
      </c>
      <c r="H184" s="41" t="s">
        <v>25</v>
      </c>
      <c r="I184" s="61">
        <v>44652</v>
      </c>
      <c r="J184" s="62">
        <f ca="1">EFEITO!$J$184*EFEITO!$Y$152</f>
        <v>5695.9993607332954</v>
      </c>
      <c r="K184" s="62">
        <f>EFEITO!$L$184*EFEITO!$Z$152</f>
        <v>0</v>
      </c>
      <c r="L184" s="62">
        <f>EFEITO!$N$184*EFEITO!$AA$152</f>
        <v>0</v>
      </c>
      <c r="M184" s="62">
        <f ca="1">$J$184-EFEITO!$K$184*EFEITO!$Y$184</f>
        <v>113.91998721466553</v>
      </c>
      <c r="N184" s="62">
        <f>$K$184-EFEITO!$M$184*EFEITO!$Z$184</f>
        <v>0</v>
      </c>
      <c r="O184" s="62">
        <f>$L$184-EFEITO!$O$184*EFEITO!$AA$184</f>
        <v>0</v>
      </c>
      <c r="P184" s="45"/>
      <c r="Q184" s="45"/>
      <c r="R184" s="45"/>
      <c r="S184" s="45"/>
      <c r="T184" s="45"/>
      <c r="U184" s="45"/>
      <c r="V184" s="45"/>
      <c r="W184" s="4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41" t="s">
        <v>21</v>
      </c>
      <c r="B185" s="41" t="s">
        <v>35</v>
      </c>
      <c r="C185" s="41" t="s">
        <v>39</v>
      </c>
      <c r="D185" s="41" t="s">
        <v>44</v>
      </c>
      <c r="E185" s="41" t="s">
        <v>25</v>
      </c>
      <c r="F185" s="41" t="s">
        <v>25</v>
      </c>
      <c r="G185" s="41" t="s">
        <v>25</v>
      </c>
      <c r="H185" s="41" t="s">
        <v>25</v>
      </c>
      <c r="I185" s="61">
        <v>44682</v>
      </c>
      <c r="J185" s="62">
        <f ca="1">EFEITO!$J$185*EFEITO!$Y$152</f>
        <v>6412.7145120838422</v>
      </c>
      <c r="K185" s="62">
        <f>EFEITO!$L$185*EFEITO!$Z$152</f>
        <v>0</v>
      </c>
      <c r="L185" s="62">
        <f>EFEITO!$N$185*EFEITO!$AA$152</f>
        <v>0</v>
      </c>
      <c r="M185" s="62">
        <f ca="1">$J$185-EFEITO!$K$185*EFEITO!$Y$185</f>
        <v>128.25429024167624</v>
      </c>
      <c r="N185" s="62">
        <f>$K$185-EFEITO!$M$185*EFEITO!$Z$185</f>
        <v>0</v>
      </c>
      <c r="O185" s="62">
        <f>$L$185-EFEITO!$O$185*EFEITO!$AA$185</f>
        <v>0</v>
      </c>
      <c r="P185" s="45"/>
      <c r="Q185" s="45"/>
      <c r="R185" s="45"/>
      <c r="S185" s="45"/>
      <c r="T185" s="45"/>
      <c r="U185" s="45"/>
      <c r="V185" s="45"/>
      <c r="W185" s="4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41" t="s">
        <v>21</v>
      </c>
      <c r="B186" s="41" t="s">
        <v>35</v>
      </c>
      <c r="C186" s="41" t="s">
        <v>39</v>
      </c>
      <c r="D186" s="41" t="s">
        <v>44</v>
      </c>
      <c r="E186" s="41" t="s">
        <v>25</v>
      </c>
      <c r="F186" s="41" t="s">
        <v>25</v>
      </c>
      <c r="G186" s="41" t="s">
        <v>25</v>
      </c>
      <c r="H186" s="41" t="s">
        <v>25</v>
      </c>
      <c r="I186" s="61">
        <v>44713</v>
      </c>
      <c r="J186" s="62">
        <f ca="1">EFEITO!$J$186*EFEITO!$Y$152</f>
        <v>6412.7145120838422</v>
      </c>
      <c r="K186" s="62">
        <f>EFEITO!$L$186*EFEITO!$Z$152</f>
        <v>0</v>
      </c>
      <c r="L186" s="62">
        <f>EFEITO!$N$186*EFEITO!$AA$152</f>
        <v>0</v>
      </c>
      <c r="M186" s="62">
        <f ca="1">$J$186-EFEITO!$K$186*EFEITO!$Y$186</f>
        <v>128.25429024167624</v>
      </c>
      <c r="N186" s="62">
        <f>$K$186-EFEITO!$M$186*EFEITO!$Z$186</f>
        <v>0</v>
      </c>
      <c r="O186" s="62">
        <f>$L$186-EFEITO!$O$186*EFEITO!$AA$186</f>
        <v>0</v>
      </c>
      <c r="P186" s="45"/>
      <c r="Q186" s="45"/>
      <c r="R186" s="45"/>
      <c r="S186" s="45"/>
      <c r="T186" s="45"/>
      <c r="U186" s="45"/>
      <c r="V186" s="45"/>
      <c r="W186" s="4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41" t="s">
        <v>21</v>
      </c>
      <c r="B187" s="41" t="s">
        <v>35</v>
      </c>
      <c r="C187" s="41" t="s">
        <v>39</v>
      </c>
      <c r="D187" s="41" t="s">
        <v>44</v>
      </c>
      <c r="E187" s="41" t="s">
        <v>25</v>
      </c>
      <c r="F187" s="41" t="s">
        <v>25</v>
      </c>
      <c r="G187" s="41" t="s">
        <v>25</v>
      </c>
      <c r="H187" s="41" t="s">
        <v>25</v>
      </c>
      <c r="I187" s="61">
        <v>44743</v>
      </c>
      <c r="J187" s="62">
        <f ca="1">EFEITO!$J$187*EFEITO!$Y$152</f>
        <v>6412.7145120838422</v>
      </c>
      <c r="K187" s="62">
        <f>EFEITO!$L$187*EFEITO!$Z$152</f>
        <v>0</v>
      </c>
      <c r="L187" s="62">
        <f>EFEITO!$N$187*EFEITO!$AA$152</f>
        <v>0</v>
      </c>
      <c r="M187" s="62">
        <f ca="1">$J$187-EFEITO!$K$187*EFEITO!$Y$187</f>
        <v>128.25429024167624</v>
      </c>
      <c r="N187" s="62">
        <f>$K$187-EFEITO!$M$187*EFEITO!$Z$187</f>
        <v>0</v>
      </c>
      <c r="O187" s="62">
        <f>$L$187-EFEITO!$O$187*EFEITO!$AA$187</f>
        <v>0</v>
      </c>
      <c r="P187" s="45"/>
      <c r="Q187" s="45"/>
      <c r="R187" s="45"/>
      <c r="S187" s="45"/>
      <c r="T187" s="45"/>
      <c r="U187" s="45"/>
      <c r="V187" s="45"/>
      <c r="W187" s="4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41" t="s">
        <v>55</v>
      </c>
      <c r="B188" s="41" t="s">
        <v>35</v>
      </c>
      <c r="C188" s="41" t="s">
        <v>39</v>
      </c>
      <c r="D188" s="41" t="s">
        <v>44</v>
      </c>
      <c r="E188" s="41" t="s">
        <v>25</v>
      </c>
      <c r="F188" s="41" t="s">
        <v>25</v>
      </c>
      <c r="G188" s="41" t="s">
        <v>25</v>
      </c>
      <c r="H188" s="41" t="s">
        <v>25</v>
      </c>
      <c r="I188" s="61">
        <v>44774</v>
      </c>
      <c r="J188" s="62">
        <f ca="1">EFEITO!$J$188*EFEITO!$Y$152</f>
        <v>6412.7145120838422</v>
      </c>
      <c r="K188" s="62">
        <f>EFEITO!$L$188*EFEITO!$Z$152</f>
        <v>0</v>
      </c>
      <c r="L188" s="62">
        <f>EFEITO!$N$188*EFEITO!$AA$152</f>
        <v>0</v>
      </c>
      <c r="M188" s="62">
        <f ca="1">$J$188-EFEITO!$K$188*EFEITO!$Y$188</f>
        <v>128.25429024167624</v>
      </c>
      <c r="N188" s="62">
        <f>$K$188-EFEITO!$M$188*EFEITO!$Z$188</f>
        <v>0</v>
      </c>
      <c r="O188" s="62">
        <f>$L$188-EFEITO!$O$188*EFEITO!$AA$188</f>
        <v>0</v>
      </c>
      <c r="P188" s="45"/>
      <c r="Q188" s="45"/>
      <c r="R188" s="45"/>
      <c r="S188" s="45"/>
      <c r="T188" s="45"/>
      <c r="U188" s="45"/>
      <c r="V188" s="45"/>
      <c r="W188" s="4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41" t="s">
        <v>21</v>
      </c>
      <c r="B189" s="41" t="s">
        <v>35</v>
      </c>
      <c r="C189" s="41" t="s">
        <v>39</v>
      </c>
      <c r="D189" s="41" t="s">
        <v>44</v>
      </c>
      <c r="E189" s="41" t="s">
        <v>25</v>
      </c>
      <c r="F189" s="41" t="s">
        <v>25</v>
      </c>
      <c r="G189" s="41" t="s">
        <v>25</v>
      </c>
      <c r="H189" s="41" t="s">
        <v>37</v>
      </c>
      <c r="I189" s="61">
        <v>44440</v>
      </c>
      <c r="J189" s="62">
        <f>EFEITO!$J$189*EFEITO!$Y$164</f>
        <v>0</v>
      </c>
      <c r="K189" s="62">
        <f ca="1">EFEITO!$L$189*EFEITO!$Z$164</f>
        <v>743.35030450483862</v>
      </c>
      <c r="L189" s="62">
        <f>EFEITO!$N$189*EFEITO!$AA$164</f>
        <v>38.664211961749807</v>
      </c>
      <c r="M189" s="62">
        <f>$J$189-EFEITO!$K$189*EFEITO!$Y$189</f>
        <v>0</v>
      </c>
      <c r="N189" s="62">
        <f ca="1">$K$189-EFEITO!$M$189*EFEITO!$Z$189</f>
        <v>14.867006090096766</v>
      </c>
      <c r="O189" s="62">
        <f>$L$189-EFEITO!$O$189*EFEITO!$AA$189</f>
        <v>0.77328423923500367</v>
      </c>
      <c r="P189" s="45"/>
      <c r="Q189" s="45"/>
      <c r="R189" s="45"/>
      <c r="S189" s="45"/>
      <c r="T189" s="45"/>
      <c r="U189" s="45"/>
      <c r="V189" s="45"/>
      <c r="W189" s="4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41" t="s">
        <v>21</v>
      </c>
      <c r="B190" s="41" t="s">
        <v>35</v>
      </c>
      <c r="C190" s="41" t="s">
        <v>39</v>
      </c>
      <c r="D190" s="41" t="s">
        <v>44</v>
      </c>
      <c r="E190" s="41" t="s">
        <v>25</v>
      </c>
      <c r="F190" s="41" t="s">
        <v>25</v>
      </c>
      <c r="G190" s="41" t="s">
        <v>25</v>
      </c>
      <c r="H190" s="41" t="s">
        <v>37</v>
      </c>
      <c r="I190" s="61">
        <v>44470</v>
      </c>
      <c r="J190" s="62">
        <f>EFEITO!$J$190*EFEITO!$Y$164</f>
        <v>0</v>
      </c>
      <c r="K190" s="62">
        <f ca="1">EFEITO!$L$190*EFEITO!$Z$164</f>
        <v>2096.090257932372</v>
      </c>
      <c r="L190" s="62">
        <f>EFEITO!$N$190*EFEITO!$AA$164</f>
        <v>109.02488037270794</v>
      </c>
      <c r="M190" s="62">
        <f>$J$190-EFEITO!$K$190*EFEITO!$Y$190</f>
        <v>0</v>
      </c>
      <c r="N190" s="62">
        <f ca="1">$K$190-EFEITO!$M$190*EFEITO!$Z$190</f>
        <v>41.921805158647203</v>
      </c>
      <c r="O190" s="62">
        <f>$L$190-EFEITO!$O$190*EFEITO!$AA$190</f>
        <v>2.1804976074541571</v>
      </c>
      <c r="P190" s="45"/>
      <c r="Q190" s="45"/>
      <c r="R190" s="45"/>
      <c r="S190" s="45"/>
      <c r="T190" s="45"/>
      <c r="U190" s="45"/>
      <c r="V190" s="45"/>
      <c r="W190" s="4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41" t="s">
        <v>21</v>
      </c>
      <c r="B191" s="41" t="s">
        <v>35</v>
      </c>
      <c r="C191" s="41" t="s">
        <v>39</v>
      </c>
      <c r="D191" s="41" t="s">
        <v>44</v>
      </c>
      <c r="E191" s="41" t="s">
        <v>25</v>
      </c>
      <c r="F191" s="41" t="s">
        <v>25</v>
      </c>
      <c r="G191" s="41" t="s">
        <v>25</v>
      </c>
      <c r="H191" s="41" t="s">
        <v>37</v>
      </c>
      <c r="I191" s="61">
        <v>44501</v>
      </c>
      <c r="J191" s="62">
        <f>EFEITO!$J$191*EFEITO!$Y$164</f>
        <v>0</v>
      </c>
      <c r="K191" s="62">
        <f ca="1">EFEITO!$L$191*EFEITO!$Z$164</f>
        <v>1730.981804482999</v>
      </c>
      <c r="L191" s="62">
        <f>EFEITO!$N$191*EFEITO!$AA$164</f>
        <v>90.034331034604676</v>
      </c>
      <c r="M191" s="62">
        <f>$J$191-EFEITO!$K$191*EFEITO!$Y$191</f>
        <v>0</v>
      </c>
      <c r="N191" s="62">
        <f ca="1">$K$191-EFEITO!$M$191*EFEITO!$Z$191</f>
        <v>34.619636089660162</v>
      </c>
      <c r="O191" s="62">
        <f>$L$191-EFEITO!$O$191*EFEITO!$AA$191</f>
        <v>1.8006866206920904</v>
      </c>
      <c r="P191" s="45"/>
      <c r="Q191" s="45"/>
      <c r="R191" s="45"/>
      <c r="S191" s="45"/>
      <c r="T191" s="45"/>
      <c r="U191" s="45"/>
      <c r="V191" s="45"/>
      <c r="W191" s="4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41" t="s">
        <v>21</v>
      </c>
      <c r="B192" s="41" t="s">
        <v>35</v>
      </c>
      <c r="C192" s="41" t="s">
        <v>39</v>
      </c>
      <c r="D192" s="41" t="s">
        <v>44</v>
      </c>
      <c r="E192" s="41" t="s">
        <v>25</v>
      </c>
      <c r="F192" s="41" t="s">
        <v>25</v>
      </c>
      <c r="G192" s="41" t="s">
        <v>25</v>
      </c>
      <c r="H192" s="41" t="s">
        <v>37</v>
      </c>
      <c r="I192" s="61">
        <v>44531</v>
      </c>
      <c r="J192" s="62">
        <f>EFEITO!$J$192*EFEITO!$Y$164</f>
        <v>0</v>
      </c>
      <c r="K192" s="62">
        <f ca="1">EFEITO!$L$192*EFEITO!$Z$164</f>
        <v>3493.4837632206199</v>
      </c>
      <c r="L192" s="62">
        <f>EFEITO!$N$192*EFEITO!$AA$164</f>
        <v>181.70813395451324</v>
      </c>
      <c r="M192" s="62">
        <f>$J$192-EFEITO!$K$192*EFEITO!$Y$192</f>
        <v>0</v>
      </c>
      <c r="N192" s="62">
        <f ca="1">$K$192-EFEITO!$M$192*EFEITO!$Z$192</f>
        <v>69.869675264412308</v>
      </c>
      <c r="O192" s="62">
        <f>$L$192-EFEITO!$O$192*EFEITO!$AA$192</f>
        <v>3.6341626790902808</v>
      </c>
      <c r="P192" s="45"/>
      <c r="Q192" s="45"/>
      <c r="R192" s="45"/>
      <c r="S192" s="45"/>
      <c r="T192" s="45"/>
      <c r="U192" s="45"/>
      <c r="V192" s="45"/>
      <c r="W192" s="4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41" t="s">
        <v>21</v>
      </c>
      <c r="B193" s="41" t="s">
        <v>35</v>
      </c>
      <c r="C193" s="41" t="s">
        <v>39</v>
      </c>
      <c r="D193" s="41" t="s">
        <v>44</v>
      </c>
      <c r="E193" s="41" t="s">
        <v>25</v>
      </c>
      <c r="F193" s="41" t="s">
        <v>25</v>
      </c>
      <c r="G193" s="41" t="s">
        <v>25</v>
      </c>
      <c r="H193" s="41" t="s">
        <v>37</v>
      </c>
      <c r="I193" s="61">
        <v>44562</v>
      </c>
      <c r="J193" s="62">
        <f>EFEITO!$J$193*EFEITO!$Y$164</f>
        <v>0</v>
      </c>
      <c r="K193" s="62">
        <f ca="1">EFEITO!$L$193*EFEITO!$Z$164</f>
        <v>3708.8714839605377</v>
      </c>
      <c r="L193" s="62">
        <f>EFEITO!$N$193*EFEITO!$AA$164</f>
        <v>192.91119183742308</v>
      </c>
      <c r="M193" s="62">
        <f>$J$193-EFEITO!$K$193*EFEITO!$Y$193</f>
        <v>0</v>
      </c>
      <c r="N193" s="62">
        <f ca="1">$K$193-EFEITO!$M$193*EFEITO!$Z$193</f>
        <v>74.177429679210945</v>
      </c>
      <c r="O193" s="62">
        <f>$L$193-EFEITO!$O$193*EFEITO!$AA$193</f>
        <v>3.8582238367484933</v>
      </c>
      <c r="P193" s="45"/>
      <c r="Q193" s="45"/>
      <c r="R193" s="45"/>
      <c r="S193" s="45"/>
      <c r="T193" s="45"/>
      <c r="U193" s="45"/>
      <c r="V193" s="45"/>
      <c r="W193" s="4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41" t="s">
        <v>21</v>
      </c>
      <c r="B194" s="41" t="s">
        <v>35</v>
      </c>
      <c r="C194" s="41" t="s">
        <v>39</v>
      </c>
      <c r="D194" s="41" t="s">
        <v>44</v>
      </c>
      <c r="E194" s="41" t="s">
        <v>25</v>
      </c>
      <c r="F194" s="41" t="s">
        <v>25</v>
      </c>
      <c r="G194" s="41" t="s">
        <v>25</v>
      </c>
      <c r="H194" s="41" t="s">
        <v>37</v>
      </c>
      <c r="I194" s="61">
        <v>44593</v>
      </c>
      <c r="J194" s="62">
        <f>EFEITO!$J$194*EFEITO!$Y$164</f>
        <v>0</v>
      </c>
      <c r="K194" s="62">
        <f ca="1">EFEITO!$L$194*EFEITO!$Z$164</f>
        <v>709.20347072899801</v>
      </c>
      <c r="L194" s="62">
        <f>EFEITO!$N$194*EFEITO!$AA$164</f>
        <v>36.888117419337277</v>
      </c>
      <c r="M194" s="62">
        <f>$J$194-EFEITO!$K$194*EFEITO!$Y$194</f>
        <v>0</v>
      </c>
      <c r="N194" s="62">
        <f ca="1">$K$194-EFEITO!$M$194*EFEITO!$Z$194</f>
        <v>14.184069414579881</v>
      </c>
      <c r="O194" s="62">
        <f>$L$194-EFEITO!$O$194*EFEITO!$AA$194</f>
        <v>0.73776234838675236</v>
      </c>
      <c r="P194" s="45"/>
      <c r="Q194" s="45"/>
      <c r="R194" s="45"/>
      <c r="S194" s="45"/>
      <c r="T194" s="45"/>
      <c r="U194" s="45"/>
      <c r="V194" s="45"/>
      <c r="W194" s="4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41" t="s">
        <v>21</v>
      </c>
      <c r="B195" s="41" t="s">
        <v>35</v>
      </c>
      <c r="C195" s="41" t="s">
        <v>39</v>
      </c>
      <c r="D195" s="41" t="s">
        <v>44</v>
      </c>
      <c r="E195" s="41" t="s">
        <v>25</v>
      </c>
      <c r="F195" s="41" t="s">
        <v>25</v>
      </c>
      <c r="G195" s="41" t="s">
        <v>25</v>
      </c>
      <c r="H195" s="41" t="s">
        <v>37</v>
      </c>
      <c r="I195" s="61">
        <v>44743</v>
      </c>
      <c r="J195" s="62">
        <f>EFEITO!$J$195*EFEITO!$Y$164</f>
        <v>0</v>
      </c>
      <c r="K195" s="62">
        <f ca="1">EFEITO!$L$195*EFEITO!$Z$164</f>
        <v>18.386756648529577</v>
      </c>
      <c r="L195" s="62">
        <f>EFEITO!$N$195*EFEITO!$AA$164</f>
        <v>0.95635859976059601</v>
      </c>
      <c r="M195" s="62">
        <f>$J$195-EFEITO!$K$195*EFEITO!$Y$195</f>
        <v>0</v>
      </c>
      <c r="N195" s="62">
        <f ca="1">$K$195-EFEITO!$M$195*EFEITO!$Z$195</f>
        <v>0.36773513297059068</v>
      </c>
      <c r="O195" s="62">
        <f>$L$195-EFEITO!$O$195*EFEITO!$AA$195</f>
        <v>1.9127171995211967E-2</v>
      </c>
      <c r="P195" s="45"/>
      <c r="Q195" s="45"/>
      <c r="R195" s="45"/>
      <c r="S195" s="45"/>
      <c r="T195" s="45"/>
      <c r="U195" s="45"/>
      <c r="V195" s="45"/>
      <c r="W195" s="4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41" t="s">
        <v>55</v>
      </c>
      <c r="B196" s="41" t="s">
        <v>35</v>
      </c>
      <c r="C196" s="41" t="s">
        <v>39</v>
      </c>
      <c r="D196" s="41" t="s">
        <v>44</v>
      </c>
      <c r="E196" s="41" t="s">
        <v>25</v>
      </c>
      <c r="F196" s="41" t="s">
        <v>25</v>
      </c>
      <c r="G196" s="41" t="s">
        <v>25</v>
      </c>
      <c r="H196" s="41" t="s">
        <v>37</v>
      </c>
      <c r="I196" s="61">
        <v>44774</v>
      </c>
      <c r="J196" s="62">
        <f>EFEITO!$J$196*EFEITO!$Y$164</f>
        <v>0</v>
      </c>
      <c r="K196" s="62">
        <f ca="1">EFEITO!$L$196*EFEITO!$Z$164</f>
        <v>18.386756648529577</v>
      </c>
      <c r="L196" s="62">
        <f>EFEITO!$N$196*EFEITO!$AA$164</f>
        <v>0.95635859976059601</v>
      </c>
      <c r="M196" s="62">
        <f>$J$196-EFEITO!$K$196*EFEITO!$Y$196</f>
        <v>0</v>
      </c>
      <c r="N196" s="62">
        <f ca="1">$K$196-EFEITO!$M$196*EFEITO!$Z$196</f>
        <v>0.36773513297059068</v>
      </c>
      <c r="O196" s="62">
        <f>$L$196-EFEITO!$O$196*EFEITO!$AA$196</f>
        <v>1.9127171995211967E-2</v>
      </c>
      <c r="P196" s="45"/>
      <c r="Q196" s="45"/>
      <c r="R196" s="45"/>
      <c r="S196" s="45"/>
      <c r="T196" s="45"/>
      <c r="U196" s="45"/>
      <c r="V196" s="45"/>
      <c r="W196" s="4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41" t="s">
        <v>21</v>
      </c>
      <c r="B197" s="41" t="s">
        <v>35</v>
      </c>
      <c r="C197" s="41" t="s">
        <v>39</v>
      </c>
      <c r="D197" s="41" t="s">
        <v>49</v>
      </c>
      <c r="E197" s="41" t="s">
        <v>50</v>
      </c>
      <c r="F197" s="41" t="s">
        <v>25</v>
      </c>
      <c r="G197" s="41" t="s">
        <v>25</v>
      </c>
      <c r="H197" s="41" t="s">
        <v>38</v>
      </c>
      <c r="I197" s="61">
        <v>44501</v>
      </c>
      <c r="J197" s="62">
        <f>EFEITO!$J$197*EFEITO!$Y$140</f>
        <v>0</v>
      </c>
      <c r="K197" s="62">
        <f ca="1">EFEITO!$L$197*EFEITO!$Z$140</f>
        <v>318.99721983244285</v>
      </c>
      <c r="L197" s="62">
        <f>EFEITO!$N$197*EFEITO!$AA$140</f>
        <v>461.10146774171591</v>
      </c>
      <c r="M197" s="62">
        <f>$J$197-EFEITO!$K$197*EFEITO!$Y$197</f>
        <v>0</v>
      </c>
      <c r="N197" s="62">
        <f ca="1">$K$197-EFEITO!$M$197*EFEITO!$Z$197</f>
        <v>9.5699165949732787</v>
      </c>
      <c r="O197" s="62">
        <f>$L$197-EFEITO!$O$197*EFEITO!$AA$197</f>
        <v>13.833044032251507</v>
      </c>
      <c r="P197" s="45"/>
      <c r="Q197" s="45"/>
      <c r="R197" s="45"/>
      <c r="S197" s="45"/>
      <c r="T197" s="45"/>
      <c r="U197" s="45"/>
      <c r="V197" s="45"/>
      <c r="W197" s="4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41" t="s">
        <v>21</v>
      </c>
      <c r="B198" s="41" t="s">
        <v>35</v>
      </c>
      <c r="C198" s="41" t="s">
        <v>39</v>
      </c>
      <c r="D198" s="41" t="s">
        <v>49</v>
      </c>
      <c r="E198" s="41" t="s">
        <v>50</v>
      </c>
      <c r="F198" s="41" t="s">
        <v>25</v>
      </c>
      <c r="G198" s="41" t="s">
        <v>25</v>
      </c>
      <c r="H198" s="41" t="s">
        <v>38</v>
      </c>
      <c r="I198" s="61">
        <v>44531</v>
      </c>
      <c r="J198" s="62">
        <f>EFEITO!$J$198*EFEITO!$Y$140</f>
        <v>0</v>
      </c>
      <c r="K198" s="62">
        <f ca="1">EFEITO!$L$198*EFEITO!$Z$140</f>
        <v>220.22622880284206</v>
      </c>
      <c r="L198" s="62">
        <f>EFEITO!$N$198*EFEITO!$AA$140</f>
        <v>318.33079106316984</v>
      </c>
      <c r="M198" s="62">
        <f>$J$198-EFEITO!$K$198*EFEITO!$Y$198</f>
        <v>0</v>
      </c>
      <c r="N198" s="62">
        <f ca="1">$K$198-EFEITO!$M$198*EFEITO!$Z$198</f>
        <v>6.6067868640852794</v>
      </c>
      <c r="O198" s="62">
        <f>$L$198-EFEITO!$O$198*EFEITO!$AA$198</f>
        <v>9.5499237318951486</v>
      </c>
      <c r="P198" s="45"/>
      <c r="Q198" s="45"/>
      <c r="R198" s="45"/>
      <c r="S198" s="45"/>
      <c r="T198" s="45"/>
      <c r="U198" s="45"/>
      <c r="V198" s="45"/>
      <c r="W198" s="4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41" t="s">
        <v>21</v>
      </c>
      <c r="B199" s="41" t="s">
        <v>35</v>
      </c>
      <c r="C199" s="41" t="s">
        <v>39</v>
      </c>
      <c r="D199" s="41" t="s">
        <v>49</v>
      </c>
      <c r="E199" s="41" t="s">
        <v>50</v>
      </c>
      <c r="F199" s="41" t="s">
        <v>25</v>
      </c>
      <c r="G199" s="41" t="s">
        <v>25</v>
      </c>
      <c r="H199" s="41" t="s">
        <v>38</v>
      </c>
      <c r="I199" s="61">
        <v>44562</v>
      </c>
      <c r="J199" s="62">
        <f>EFEITO!$J$199*EFEITO!$Y$140</f>
        <v>0</v>
      </c>
      <c r="K199" s="62">
        <f ca="1">EFEITO!$L$199*EFEITO!$Z$140</f>
        <v>236.48327230245096</v>
      </c>
      <c r="L199" s="62">
        <f>EFEITO!$N$199*EFEITO!$AA$140</f>
        <v>341.82988808585873</v>
      </c>
      <c r="M199" s="62">
        <f>$J$199-EFEITO!$K$199*EFEITO!$Y$199</f>
        <v>0</v>
      </c>
      <c r="N199" s="62">
        <f ca="1">$K$199-EFEITO!$M$199*EFEITO!$Z$199</f>
        <v>7.094498169073546</v>
      </c>
      <c r="O199" s="62">
        <f>$L$199-EFEITO!$O$199*EFEITO!$AA$199</f>
        <v>10.254896642575829</v>
      </c>
      <c r="P199" s="45"/>
      <c r="Q199" s="45"/>
      <c r="R199" s="45"/>
      <c r="S199" s="45"/>
      <c r="T199" s="45"/>
      <c r="U199" s="45"/>
      <c r="V199" s="45"/>
      <c r="W199" s="4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41" t="s">
        <v>21</v>
      </c>
      <c r="B200" s="41" t="s">
        <v>35</v>
      </c>
      <c r="C200" s="41" t="s">
        <v>39</v>
      </c>
      <c r="D200" s="41" t="s">
        <v>49</v>
      </c>
      <c r="E200" s="41" t="s">
        <v>50</v>
      </c>
      <c r="F200" s="41" t="s">
        <v>25</v>
      </c>
      <c r="G200" s="41" t="s">
        <v>25</v>
      </c>
      <c r="H200" s="41" t="s">
        <v>38</v>
      </c>
      <c r="I200" s="61">
        <v>44593</v>
      </c>
      <c r="J200" s="62">
        <f>EFEITO!$J$200*EFEITO!$Y$140</f>
        <v>0</v>
      </c>
      <c r="K200" s="62">
        <f ca="1">EFEITO!$L$200*EFEITO!$Z$140</f>
        <v>228.35475055264649</v>
      </c>
      <c r="L200" s="62">
        <f>EFEITO!$N$200*EFEITO!$AA$140</f>
        <v>330.08033957451426</v>
      </c>
      <c r="M200" s="62">
        <f>$J$200-EFEITO!$K$200*EFEITO!$Y$200</f>
        <v>0</v>
      </c>
      <c r="N200" s="62">
        <f ca="1">$K$200-EFEITO!$M$200*EFEITO!$Z$200</f>
        <v>6.8506425165793985</v>
      </c>
      <c r="O200" s="62">
        <f>$L$200-EFEITO!$O$200*EFEITO!$AA$200</f>
        <v>9.902410187235489</v>
      </c>
      <c r="P200" s="45"/>
      <c r="Q200" s="45"/>
      <c r="R200" s="45"/>
      <c r="S200" s="45"/>
      <c r="T200" s="45"/>
      <c r="U200" s="45"/>
      <c r="V200" s="45"/>
      <c r="W200" s="4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41" t="s">
        <v>21</v>
      </c>
      <c r="B201" s="41" t="s">
        <v>35</v>
      </c>
      <c r="C201" s="41" t="s">
        <v>39</v>
      </c>
      <c r="D201" s="41" t="s">
        <v>49</v>
      </c>
      <c r="E201" s="41" t="s">
        <v>50</v>
      </c>
      <c r="F201" s="41" t="s">
        <v>25</v>
      </c>
      <c r="G201" s="41" t="s">
        <v>25</v>
      </c>
      <c r="H201" s="41" t="s">
        <v>38</v>
      </c>
      <c r="I201" s="61">
        <v>44621</v>
      </c>
      <c r="J201" s="62">
        <f>EFEITO!$J$201*EFEITO!$Y$140</f>
        <v>0</v>
      </c>
      <c r="K201" s="62">
        <f ca="1">EFEITO!$L$201*EFEITO!$Z$140</f>
        <v>209.92380007343871</v>
      </c>
      <c r="L201" s="62">
        <f>EFEITO!$N$201*EFEITO!$AA$140</f>
        <v>303.43892143832625</v>
      </c>
      <c r="M201" s="62">
        <f>$J$201-EFEITO!$K$201*EFEITO!$Y$201</f>
        <v>0</v>
      </c>
      <c r="N201" s="62">
        <f ca="1">$K$201-EFEITO!$M$201*EFEITO!$Z$201</f>
        <v>6.297714002203179</v>
      </c>
      <c r="O201" s="62">
        <f>$L$201-EFEITO!$O$201*EFEITO!$AA$201</f>
        <v>9.1031676431498454</v>
      </c>
      <c r="P201" s="45"/>
      <c r="Q201" s="45"/>
      <c r="R201" s="45"/>
      <c r="S201" s="45"/>
      <c r="T201" s="45"/>
      <c r="U201" s="45"/>
      <c r="V201" s="45"/>
      <c r="W201" s="4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41" t="s">
        <v>21</v>
      </c>
      <c r="B202" s="41" t="s">
        <v>35</v>
      </c>
      <c r="C202" s="41" t="s">
        <v>39</v>
      </c>
      <c r="D202" s="41" t="s">
        <v>49</v>
      </c>
      <c r="E202" s="41" t="s">
        <v>50</v>
      </c>
      <c r="F202" s="41" t="s">
        <v>25</v>
      </c>
      <c r="G202" s="41" t="s">
        <v>25</v>
      </c>
      <c r="H202" s="41" t="s">
        <v>38</v>
      </c>
      <c r="I202" s="61">
        <v>44652</v>
      </c>
      <c r="J202" s="62">
        <f>EFEITO!$J$202*EFEITO!$Y$140</f>
        <v>0</v>
      </c>
      <c r="K202" s="62">
        <f ca="1">EFEITO!$L$202*EFEITO!$Z$140</f>
        <v>443.00443536434364</v>
      </c>
      <c r="L202" s="62">
        <f>EFEITO!$N$202*EFEITO!$AA$140</f>
        <v>640.35039386827339</v>
      </c>
      <c r="M202" s="62">
        <f>$J$202-EFEITO!$K$202*EFEITO!$Y$202</f>
        <v>0</v>
      </c>
      <c r="N202" s="62">
        <f ca="1">$K$202-EFEITO!$M$202*EFEITO!$Z$202</f>
        <v>13.290133060930316</v>
      </c>
      <c r="O202" s="62">
        <f>$L$202-EFEITO!$O$202*EFEITO!$AA$202</f>
        <v>19.210511816048324</v>
      </c>
      <c r="P202" s="45"/>
      <c r="Q202" s="45"/>
      <c r="R202" s="45"/>
      <c r="S202" s="45"/>
      <c r="T202" s="45"/>
      <c r="U202" s="45"/>
      <c r="V202" s="45"/>
      <c r="W202" s="4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41" t="s">
        <v>21</v>
      </c>
      <c r="B203" s="41" t="s">
        <v>35</v>
      </c>
      <c r="C203" s="41" t="s">
        <v>39</v>
      </c>
      <c r="D203" s="41" t="s">
        <v>49</v>
      </c>
      <c r="E203" s="41" t="s">
        <v>50</v>
      </c>
      <c r="F203" s="41" t="s">
        <v>25</v>
      </c>
      <c r="G203" s="41" t="s">
        <v>25</v>
      </c>
      <c r="H203" s="41" t="s">
        <v>38</v>
      </c>
      <c r="I203" s="61">
        <v>44682</v>
      </c>
      <c r="J203" s="62">
        <f>EFEITO!$J$203*EFEITO!$Y$140</f>
        <v>0</v>
      </c>
      <c r="K203" s="62">
        <f ca="1">EFEITO!$L$203*EFEITO!$Z$140</f>
        <v>468.24065986664351</v>
      </c>
      <c r="L203" s="62">
        <f>EFEITO!$N$203*EFEITO!$AA$140</f>
        <v>676.82864331628457</v>
      </c>
      <c r="M203" s="62">
        <f>$J$203-EFEITO!$K$203*EFEITO!$Y$203</f>
        <v>0</v>
      </c>
      <c r="N203" s="62">
        <f ca="1">$K$203-EFEITO!$M$203*EFEITO!$Z$203</f>
        <v>14.047219795999297</v>
      </c>
      <c r="O203" s="62">
        <f>$L$203-EFEITO!$O$203*EFEITO!$AA$203</f>
        <v>20.304859299488612</v>
      </c>
      <c r="P203" s="45"/>
      <c r="Q203" s="45"/>
      <c r="R203" s="45"/>
      <c r="S203" s="45"/>
      <c r="T203" s="45"/>
      <c r="U203" s="45"/>
      <c r="V203" s="45"/>
      <c r="W203" s="4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41" t="s">
        <v>21</v>
      </c>
      <c r="B204" s="41" t="s">
        <v>35</v>
      </c>
      <c r="C204" s="41" t="s">
        <v>39</v>
      </c>
      <c r="D204" s="41" t="s">
        <v>49</v>
      </c>
      <c r="E204" s="41" t="s">
        <v>50</v>
      </c>
      <c r="F204" s="41" t="s">
        <v>25</v>
      </c>
      <c r="G204" s="41" t="s">
        <v>25</v>
      </c>
      <c r="H204" s="41" t="s">
        <v>38</v>
      </c>
      <c r="I204" s="61">
        <v>44713</v>
      </c>
      <c r="J204" s="62">
        <f>EFEITO!$J$204*EFEITO!$Y$140</f>
        <v>0</v>
      </c>
      <c r="K204" s="62">
        <f ca="1">EFEITO!$L$204*EFEITO!$Z$140</f>
        <v>508.88326861566594</v>
      </c>
      <c r="L204" s="62">
        <f>EFEITO!$N$204*EFEITO!$AA$140</f>
        <v>735.57638587300698</v>
      </c>
      <c r="M204" s="62">
        <f>$J$204-EFEITO!$K$204*EFEITO!$Y$204</f>
        <v>0</v>
      </c>
      <c r="N204" s="62">
        <f ca="1">$K$204-EFEITO!$M$204*EFEITO!$Z$204</f>
        <v>15.266498058470006</v>
      </c>
      <c r="O204" s="62">
        <f>$L$204-EFEITO!$O$204*EFEITO!$AA$204</f>
        <v>22.067291576190314</v>
      </c>
      <c r="P204" s="45"/>
      <c r="Q204" s="45"/>
      <c r="R204" s="45"/>
      <c r="S204" s="45"/>
      <c r="T204" s="45"/>
      <c r="U204" s="45"/>
      <c r="V204" s="45"/>
      <c r="W204" s="4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41" t="s">
        <v>21</v>
      </c>
      <c r="B205" s="41" t="s">
        <v>35</v>
      </c>
      <c r="C205" s="41" t="s">
        <v>39</v>
      </c>
      <c r="D205" s="41" t="s">
        <v>49</v>
      </c>
      <c r="E205" s="41" t="s">
        <v>50</v>
      </c>
      <c r="F205" s="41" t="s">
        <v>25</v>
      </c>
      <c r="G205" s="41" t="s">
        <v>25</v>
      </c>
      <c r="H205" s="41" t="s">
        <v>38</v>
      </c>
      <c r="I205" s="61">
        <v>44743</v>
      </c>
      <c r="J205" s="62">
        <f>EFEITO!$J$205*EFEITO!$Y$140</f>
        <v>0</v>
      </c>
      <c r="K205" s="62">
        <f ca="1">EFEITO!$L$205*EFEITO!$Z$140</f>
        <v>493.66591975847382</v>
      </c>
      <c r="L205" s="62">
        <f>EFEITO!$N$205*EFEITO!$AA$140</f>
        <v>713.58013807851319</v>
      </c>
      <c r="M205" s="62">
        <f>$J$205-EFEITO!$K$205*EFEITO!$Y$205</f>
        <v>0</v>
      </c>
      <c r="N205" s="62">
        <f ca="1">$K$205-EFEITO!$M$205*EFEITO!$Z$205</f>
        <v>14.809977592754251</v>
      </c>
      <c r="O205" s="62">
        <f>$L$205-EFEITO!$O$205*EFEITO!$AA$205</f>
        <v>21.407404142355404</v>
      </c>
      <c r="P205" s="45"/>
      <c r="Q205" s="45"/>
      <c r="R205" s="45"/>
      <c r="S205" s="45"/>
      <c r="T205" s="45"/>
      <c r="U205" s="45"/>
      <c r="V205" s="45"/>
      <c r="W205" s="4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41" t="s">
        <v>55</v>
      </c>
      <c r="B206" s="41" t="s">
        <v>35</v>
      </c>
      <c r="C206" s="41" t="s">
        <v>39</v>
      </c>
      <c r="D206" s="41" t="s">
        <v>49</v>
      </c>
      <c r="E206" s="41" t="s">
        <v>50</v>
      </c>
      <c r="F206" s="41" t="s">
        <v>25</v>
      </c>
      <c r="G206" s="41" t="s">
        <v>25</v>
      </c>
      <c r="H206" s="41" t="s">
        <v>38</v>
      </c>
      <c r="I206" s="61">
        <v>44774</v>
      </c>
      <c r="J206" s="62">
        <f>EFEITO!$J$206*EFEITO!$Y$140</f>
        <v>0</v>
      </c>
      <c r="K206" s="62">
        <f ca="1">EFEITO!$L$206*EFEITO!$Z$140</f>
        <v>493.66591975847382</v>
      </c>
      <c r="L206" s="62">
        <f>EFEITO!$N$206*EFEITO!$AA$140</f>
        <v>713.58013807851319</v>
      </c>
      <c r="M206" s="62">
        <f>$J$206-EFEITO!$K$206*EFEITO!$Y$206</f>
        <v>0</v>
      </c>
      <c r="N206" s="62">
        <f ca="1">$K$206-EFEITO!$M$206*EFEITO!$Z$206</f>
        <v>14.809977592754251</v>
      </c>
      <c r="O206" s="62">
        <f>$L$206-EFEITO!$O$206*EFEITO!$AA$206</f>
        <v>21.407404142355404</v>
      </c>
      <c r="P206" s="45"/>
      <c r="Q206" s="45"/>
      <c r="R206" s="45"/>
      <c r="S206" s="45"/>
      <c r="T206" s="45"/>
      <c r="U206" s="45"/>
      <c r="V206" s="45"/>
      <c r="W206" s="4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41" t="s">
        <v>21</v>
      </c>
      <c r="B207" s="41" t="s">
        <v>35</v>
      </c>
      <c r="C207" s="41" t="s">
        <v>39</v>
      </c>
      <c r="D207" s="41" t="s">
        <v>49</v>
      </c>
      <c r="E207" s="41" t="s">
        <v>50</v>
      </c>
      <c r="F207" s="41" t="s">
        <v>25</v>
      </c>
      <c r="G207" s="41" t="s">
        <v>25</v>
      </c>
      <c r="H207" s="41" t="s">
        <v>25</v>
      </c>
      <c r="I207" s="61">
        <v>44501</v>
      </c>
      <c r="J207" s="62">
        <f ca="1">EFEITO!$J$207*EFEITO!$Y$152</f>
        <v>1131.6555021324427</v>
      </c>
      <c r="K207" s="62">
        <f>EFEITO!$L$207*EFEITO!$Z$152</f>
        <v>0</v>
      </c>
      <c r="L207" s="62">
        <f>EFEITO!$N$207*EFEITO!$AA$152</f>
        <v>0</v>
      </c>
      <c r="M207" s="62">
        <f ca="1">$J$207-EFEITO!$K$207*EFEITO!$Y$207</f>
        <v>33.949665063973271</v>
      </c>
      <c r="N207" s="62">
        <f>$K$207-EFEITO!$M$207*EFEITO!$Z$207</f>
        <v>0</v>
      </c>
      <c r="O207" s="62">
        <f>$L$207-EFEITO!$O$207*EFEITO!$AA$207</f>
        <v>0</v>
      </c>
      <c r="P207" s="45"/>
      <c r="Q207" s="45"/>
      <c r="R207" s="45"/>
      <c r="S207" s="45"/>
      <c r="T207" s="45"/>
      <c r="U207" s="45"/>
      <c r="V207" s="45"/>
      <c r="W207" s="4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41" t="s">
        <v>21</v>
      </c>
      <c r="B208" s="41" t="s">
        <v>35</v>
      </c>
      <c r="C208" s="41" t="s">
        <v>39</v>
      </c>
      <c r="D208" s="41" t="s">
        <v>49</v>
      </c>
      <c r="E208" s="41" t="s">
        <v>50</v>
      </c>
      <c r="F208" s="41" t="s">
        <v>25</v>
      </c>
      <c r="G208" s="41" t="s">
        <v>25</v>
      </c>
      <c r="H208" s="41" t="s">
        <v>25</v>
      </c>
      <c r="I208" s="61">
        <v>44531</v>
      </c>
      <c r="J208" s="62">
        <f ca="1">EFEITO!$J$208*EFEITO!$Y$152</f>
        <v>1131.6555021324427</v>
      </c>
      <c r="K208" s="62">
        <f>EFEITO!$L$208*EFEITO!$Z$152</f>
        <v>0</v>
      </c>
      <c r="L208" s="62">
        <f>EFEITO!$N$208*EFEITO!$AA$152</f>
        <v>0</v>
      </c>
      <c r="M208" s="62">
        <f ca="1">$J$208-EFEITO!$K$208*EFEITO!$Y$208</f>
        <v>33.949665063973271</v>
      </c>
      <c r="N208" s="62">
        <f>$K$208-EFEITO!$M$208*EFEITO!$Z$208</f>
        <v>0</v>
      </c>
      <c r="O208" s="62">
        <f>$L$208-EFEITO!$O$208*EFEITO!$AA$208</f>
        <v>0</v>
      </c>
      <c r="P208" s="45"/>
      <c r="Q208" s="45"/>
      <c r="R208" s="45"/>
      <c r="S208" s="45"/>
      <c r="T208" s="45"/>
      <c r="U208" s="45"/>
      <c r="V208" s="45"/>
      <c r="W208" s="4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41" t="s">
        <v>21</v>
      </c>
      <c r="B209" s="41" t="s">
        <v>35</v>
      </c>
      <c r="C209" s="41" t="s">
        <v>39</v>
      </c>
      <c r="D209" s="41" t="s">
        <v>49</v>
      </c>
      <c r="E209" s="41" t="s">
        <v>50</v>
      </c>
      <c r="F209" s="41" t="s">
        <v>25</v>
      </c>
      <c r="G209" s="41" t="s">
        <v>25</v>
      </c>
      <c r="H209" s="41" t="s">
        <v>25</v>
      </c>
      <c r="I209" s="61">
        <v>44562</v>
      </c>
      <c r="J209" s="62">
        <f ca="1">EFEITO!$J$209*EFEITO!$Y$152</f>
        <v>2942.3043055443513</v>
      </c>
      <c r="K209" s="62">
        <f>EFEITO!$L$209*EFEITO!$Z$152</f>
        <v>0</v>
      </c>
      <c r="L209" s="62">
        <f>EFEITO!$N$209*EFEITO!$AA$152</f>
        <v>0</v>
      </c>
      <c r="M209" s="62">
        <f ca="1">$J$209-EFEITO!$K$209*EFEITO!$Y$209</f>
        <v>88.269129166330913</v>
      </c>
      <c r="N209" s="62">
        <f>$K$209-EFEITO!$M$209*EFEITO!$Z$209</f>
        <v>0</v>
      </c>
      <c r="O209" s="62">
        <f>$L$209-EFEITO!$O$209*EFEITO!$AA$209</f>
        <v>0</v>
      </c>
      <c r="P209" s="45"/>
      <c r="Q209" s="45"/>
      <c r="R209" s="45"/>
      <c r="S209" s="45"/>
      <c r="T209" s="45"/>
      <c r="U209" s="45"/>
      <c r="V209" s="45"/>
      <c r="W209" s="4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41" t="s">
        <v>21</v>
      </c>
      <c r="B210" s="41" t="s">
        <v>35</v>
      </c>
      <c r="C210" s="41" t="s">
        <v>39</v>
      </c>
      <c r="D210" s="41" t="s">
        <v>49</v>
      </c>
      <c r="E210" s="41" t="s">
        <v>50</v>
      </c>
      <c r="F210" s="41" t="s">
        <v>25</v>
      </c>
      <c r="G210" s="41" t="s">
        <v>25</v>
      </c>
      <c r="H210" s="41" t="s">
        <v>25</v>
      </c>
      <c r="I210" s="61">
        <v>44593</v>
      </c>
      <c r="J210" s="62">
        <f ca="1">EFEITO!$J$210*EFEITO!$Y$152</f>
        <v>2942.3043055443513</v>
      </c>
      <c r="K210" s="62">
        <f>EFEITO!$L$210*EFEITO!$Z$152</f>
        <v>0</v>
      </c>
      <c r="L210" s="62">
        <f>EFEITO!$N$210*EFEITO!$AA$152</f>
        <v>0</v>
      </c>
      <c r="M210" s="62">
        <f ca="1">$J$210-EFEITO!$K$210*EFEITO!$Y$210</f>
        <v>88.269129166330913</v>
      </c>
      <c r="N210" s="62">
        <f>$K$210-EFEITO!$M$210*EFEITO!$Z$210</f>
        <v>0</v>
      </c>
      <c r="O210" s="62">
        <f>$L$210-EFEITO!$O$210*EFEITO!$AA$210</f>
        <v>0</v>
      </c>
      <c r="P210" s="45"/>
      <c r="Q210" s="45"/>
      <c r="R210" s="45"/>
      <c r="S210" s="45"/>
      <c r="T210" s="45"/>
      <c r="U210" s="45"/>
      <c r="V210" s="45"/>
      <c r="W210" s="4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41" t="s">
        <v>21</v>
      </c>
      <c r="B211" s="41" t="s">
        <v>35</v>
      </c>
      <c r="C211" s="41" t="s">
        <v>39</v>
      </c>
      <c r="D211" s="41" t="s">
        <v>49</v>
      </c>
      <c r="E211" s="41" t="s">
        <v>50</v>
      </c>
      <c r="F211" s="41" t="s">
        <v>25</v>
      </c>
      <c r="G211" s="41" t="s">
        <v>25</v>
      </c>
      <c r="H211" s="41" t="s">
        <v>25</v>
      </c>
      <c r="I211" s="61">
        <v>44621</v>
      </c>
      <c r="J211" s="62">
        <f ca="1">EFEITO!$J$211*EFEITO!$Y$152</f>
        <v>2942.3043055443513</v>
      </c>
      <c r="K211" s="62">
        <f>EFEITO!$L$211*EFEITO!$Z$152</f>
        <v>0</v>
      </c>
      <c r="L211" s="62">
        <f>EFEITO!$N$211*EFEITO!$AA$152</f>
        <v>0</v>
      </c>
      <c r="M211" s="62">
        <f ca="1">$J$211-EFEITO!$K$211*EFEITO!$Y$211</f>
        <v>88.269129166330913</v>
      </c>
      <c r="N211" s="62">
        <f>$K$211-EFEITO!$M$211*EFEITO!$Z$211</f>
        <v>0</v>
      </c>
      <c r="O211" s="62">
        <f>$L$211-EFEITO!$O$211*EFEITO!$AA$211</f>
        <v>0</v>
      </c>
      <c r="P211" s="45"/>
      <c r="Q211" s="45"/>
      <c r="R211" s="45"/>
      <c r="S211" s="45"/>
      <c r="T211" s="45"/>
      <c r="U211" s="45"/>
      <c r="V211" s="45"/>
      <c r="W211" s="4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41" t="s">
        <v>21</v>
      </c>
      <c r="B212" s="41" t="s">
        <v>35</v>
      </c>
      <c r="C212" s="41" t="s">
        <v>39</v>
      </c>
      <c r="D212" s="41" t="s">
        <v>49</v>
      </c>
      <c r="E212" s="41" t="s">
        <v>50</v>
      </c>
      <c r="F212" s="41" t="s">
        <v>25</v>
      </c>
      <c r="G212" s="41" t="s">
        <v>25</v>
      </c>
      <c r="H212" s="41" t="s">
        <v>25</v>
      </c>
      <c r="I212" s="61">
        <v>44652</v>
      </c>
      <c r="J212" s="62">
        <f ca="1">EFEITO!$J$212*EFEITO!$Y$152</f>
        <v>2942.3043055443513</v>
      </c>
      <c r="K212" s="62">
        <f>EFEITO!$L$212*EFEITO!$Z$152</f>
        <v>0</v>
      </c>
      <c r="L212" s="62">
        <f>EFEITO!$N$212*EFEITO!$AA$152</f>
        <v>0</v>
      </c>
      <c r="M212" s="62">
        <f ca="1">$J$212-EFEITO!$K$212*EFEITO!$Y$212</f>
        <v>88.269129166330913</v>
      </c>
      <c r="N212" s="62">
        <f>$K$212-EFEITO!$M$212*EFEITO!$Z$212</f>
        <v>0</v>
      </c>
      <c r="O212" s="62">
        <f>$L$212-EFEITO!$O$212*EFEITO!$AA$212</f>
        <v>0</v>
      </c>
      <c r="P212" s="45"/>
      <c r="Q212" s="45"/>
      <c r="R212" s="45"/>
      <c r="S212" s="45"/>
      <c r="T212" s="45"/>
      <c r="U212" s="45"/>
      <c r="V212" s="45"/>
      <c r="W212" s="4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41" t="s">
        <v>21</v>
      </c>
      <c r="B213" s="41" t="s">
        <v>35</v>
      </c>
      <c r="C213" s="41" t="s">
        <v>39</v>
      </c>
      <c r="D213" s="41" t="s">
        <v>49</v>
      </c>
      <c r="E213" s="41" t="s">
        <v>50</v>
      </c>
      <c r="F213" s="41" t="s">
        <v>25</v>
      </c>
      <c r="G213" s="41" t="s">
        <v>25</v>
      </c>
      <c r="H213" s="41" t="s">
        <v>25</v>
      </c>
      <c r="I213" s="61">
        <v>44682</v>
      </c>
      <c r="J213" s="62">
        <f ca="1">EFEITO!$J$213*EFEITO!$Y$152</f>
        <v>2942.3043055443513</v>
      </c>
      <c r="K213" s="62">
        <f>EFEITO!$L$213*EFEITO!$Z$152</f>
        <v>0</v>
      </c>
      <c r="L213" s="62">
        <f>EFEITO!$N$213*EFEITO!$AA$152</f>
        <v>0</v>
      </c>
      <c r="M213" s="62">
        <f ca="1">$J$213-EFEITO!$K$213*EFEITO!$Y$213</f>
        <v>88.269129166330913</v>
      </c>
      <c r="N213" s="62">
        <f>$K$213-EFEITO!$M$213*EFEITO!$Z$213</f>
        <v>0</v>
      </c>
      <c r="O213" s="62">
        <f>$L$213-EFEITO!$O$213*EFEITO!$AA$213</f>
        <v>0</v>
      </c>
      <c r="P213" s="45"/>
      <c r="Q213" s="45"/>
      <c r="R213" s="45"/>
      <c r="S213" s="45"/>
      <c r="T213" s="45"/>
      <c r="U213" s="45"/>
      <c r="V213" s="45"/>
      <c r="W213" s="45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41" t="s">
        <v>21</v>
      </c>
      <c r="B214" s="41" t="s">
        <v>35</v>
      </c>
      <c r="C214" s="41" t="s">
        <v>39</v>
      </c>
      <c r="D214" s="41" t="s">
        <v>49</v>
      </c>
      <c r="E214" s="41" t="s">
        <v>50</v>
      </c>
      <c r="F214" s="41" t="s">
        <v>25</v>
      </c>
      <c r="G214" s="41" t="s">
        <v>25</v>
      </c>
      <c r="H214" s="41" t="s">
        <v>25</v>
      </c>
      <c r="I214" s="61">
        <v>44713</v>
      </c>
      <c r="J214" s="62">
        <f ca="1">EFEITO!$J$214*EFEITO!$Y$152</f>
        <v>2942.3043055443513</v>
      </c>
      <c r="K214" s="62">
        <f>EFEITO!$L$214*EFEITO!$Z$152</f>
        <v>0</v>
      </c>
      <c r="L214" s="62">
        <f>EFEITO!$N$214*EFEITO!$AA$152</f>
        <v>0</v>
      </c>
      <c r="M214" s="62">
        <f ca="1">$J$214-EFEITO!$K$214*EFEITO!$Y$214</f>
        <v>88.269129166330913</v>
      </c>
      <c r="N214" s="62">
        <f>$K$214-EFEITO!$M$214*EFEITO!$Z$214</f>
        <v>0</v>
      </c>
      <c r="O214" s="62">
        <f>$L$214-EFEITO!$O$214*EFEITO!$AA$214</f>
        <v>0</v>
      </c>
      <c r="P214" s="45"/>
      <c r="Q214" s="45"/>
      <c r="R214" s="45"/>
      <c r="S214" s="45"/>
      <c r="T214" s="45"/>
      <c r="U214" s="45"/>
      <c r="V214" s="45"/>
      <c r="W214" s="45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41" t="s">
        <v>21</v>
      </c>
      <c r="B215" s="41" t="s">
        <v>35</v>
      </c>
      <c r="C215" s="41" t="s">
        <v>39</v>
      </c>
      <c r="D215" s="41" t="s">
        <v>49</v>
      </c>
      <c r="E215" s="41" t="s">
        <v>50</v>
      </c>
      <c r="F215" s="41" t="s">
        <v>25</v>
      </c>
      <c r="G215" s="41" t="s">
        <v>25</v>
      </c>
      <c r="H215" s="41" t="s">
        <v>25</v>
      </c>
      <c r="I215" s="61">
        <v>44743</v>
      </c>
      <c r="J215" s="62">
        <f ca="1">EFEITO!$J$215*EFEITO!$Y$152</f>
        <v>2942.3043055443513</v>
      </c>
      <c r="K215" s="62">
        <f>EFEITO!$L$215*EFEITO!$Z$152</f>
        <v>0</v>
      </c>
      <c r="L215" s="62">
        <f>EFEITO!$N$215*EFEITO!$AA$152</f>
        <v>0</v>
      </c>
      <c r="M215" s="62">
        <f ca="1">$J$215-EFEITO!$K$215*EFEITO!$Y$215</f>
        <v>88.269129166330913</v>
      </c>
      <c r="N215" s="62">
        <f>$K$215-EFEITO!$M$215*EFEITO!$Z$215</f>
        <v>0</v>
      </c>
      <c r="O215" s="62">
        <f>$L$215-EFEITO!$O$215*EFEITO!$AA$215</f>
        <v>0</v>
      </c>
      <c r="P215" s="45"/>
      <c r="Q215" s="45"/>
      <c r="R215" s="45"/>
      <c r="S215" s="45"/>
      <c r="T215" s="45"/>
      <c r="U215" s="45"/>
      <c r="V215" s="45"/>
      <c r="W215" s="45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41" t="s">
        <v>55</v>
      </c>
      <c r="B216" s="41" t="s">
        <v>35</v>
      </c>
      <c r="C216" s="41" t="s">
        <v>39</v>
      </c>
      <c r="D216" s="41" t="s">
        <v>49</v>
      </c>
      <c r="E216" s="41" t="s">
        <v>50</v>
      </c>
      <c r="F216" s="41" t="s">
        <v>25</v>
      </c>
      <c r="G216" s="41" t="s">
        <v>25</v>
      </c>
      <c r="H216" s="41" t="s">
        <v>25</v>
      </c>
      <c r="I216" s="61">
        <v>44774</v>
      </c>
      <c r="J216" s="62">
        <f ca="1">EFEITO!$J$216*EFEITO!$Y$152</f>
        <v>2942.3043055443513</v>
      </c>
      <c r="K216" s="62">
        <f>EFEITO!$L$216*EFEITO!$Z$152</f>
        <v>0</v>
      </c>
      <c r="L216" s="62">
        <f>EFEITO!$N$216*EFEITO!$AA$152</f>
        <v>0</v>
      </c>
      <c r="M216" s="62">
        <f ca="1">$J$216-EFEITO!$K$216*EFEITO!$Y$216</f>
        <v>88.269129166330913</v>
      </c>
      <c r="N216" s="62">
        <f>$K$216-EFEITO!$M$216*EFEITO!$Z$216</f>
        <v>0</v>
      </c>
      <c r="O216" s="62">
        <f>$L$216-EFEITO!$O$216*EFEITO!$AA$216</f>
        <v>0</v>
      </c>
      <c r="P216" s="45"/>
      <c r="Q216" s="45"/>
      <c r="R216" s="45"/>
      <c r="S216" s="45"/>
      <c r="T216" s="45"/>
      <c r="U216" s="45"/>
      <c r="V216" s="45"/>
      <c r="W216" s="45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41" t="s">
        <v>21</v>
      </c>
      <c r="B217" s="41" t="s">
        <v>35</v>
      </c>
      <c r="C217" s="41" t="s">
        <v>39</v>
      </c>
      <c r="D217" s="41" t="s">
        <v>49</v>
      </c>
      <c r="E217" s="41" t="s">
        <v>50</v>
      </c>
      <c r="F217" s="41" t="s">
        <v>25</v>
      </c>
      <c r="G217" s="41" t="s">
        <v>25</v>
      </c>
      <c r="H217" s="41" t="s">
        <v>37</v>
      </c>
      <c r="I217" s="61">
        <v>44501</v>
      </c>
      <c r="J217" s="62">
        <f>EFEITO!$J$217*EFEITO!$Y$164</f>
        <v>0</v>
      </c>
      <c r="K217" s="62">
        <f ca="1">EFEITO!$L$217*EFEITO!$Z$164</f>
        <v>1505.0873656582069</v>
      </c>
      <c r="L217" s="62">
        <f>EFEITO!$N$217*EFEITO!$AA$164</f>
        <v>78.284782523260205</v>
      </c>
      <c r="M217" s="62">
        <f>$J$217-EFEITO!$K$217*EFEITO!$Y$217</f>
        <v>0</v>
      </c>
      <c r="N217" s="62">
        <f ca="1">$K$217-EFEITO!$M$217*EFEITO!$Z$217</f>
        <v>45.152620969746295</v>
      </c>
      <c r="O217" s="62">
        <f>$L$217-EFEITO!$O$217*EFEITO!$AA$217</f>
        <v>2.3485434756978094</v>
      </c>
      <c r="P217" s="45"/>
      <c r="Q217" s="45"/>
      <c r="R217" s="45"/>
      <c r="S217" s="45"/>
      <c r="T217" s="45"/>
      <c r="U217" s="45"/>
      <c r="V217" s="45"/>
      <c r="W217" s="45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41" t="s">
        <v>21</v>
      </c>
      <c r="B218" s="41" t="s">
        <v>35</v>
      </c>
      <c r="C218" s="41" t="s">
        <v>39</v>
      </c>
      <c r="D218" s="41" t="s">
        <v>49</v>
      </c>
      <c r="E218" s="41" t="s">
        <v>50</v>
      </c>
      <c r="F218" s="41" t="s">
        <v>25</v>
      </c>
      <c r="G218" s="41" t="s">
        <v>25</v>
      </c>
      <c r="H218" s="41" t="s">
        <v>37</v>
      </c>
      <c r="I218" s="61">
        <v>44531</v>
      </c>
      <c r="J218" s="62">
        <f>EFEITO!$J$218*EFEITO!$Y$164</f>
        <v>0</v>
      </c>
      <c r="K218" s="62">
        <f ca="1">EFEITO!$L$218*EFEITO!$Z$164</f>
        <v>1061.1785265722785</v>
      </c>
      <c r="L218" s="62">
        <f>EFEITO!$N$218*EFEITO!$AA$164</f>
        <v>55.195553471897256</v>
      </c>
      <c r="M218" s="62">
        <f>$J$218-EFEITO!$K$218*EFEITO!$Y$218</f>
        <v>0</v>
      </c>
      <c r="N218" s="62">
        <f ca="1">$K$218-EFEITO!$M$218*EFEITO!$Z$218</f>
        <v>31.835355797168404</v>
      </c>
      <c r="O218" s="62">
        <f>$L$218-EFEITO!$O$218*EFEITO!$AA$218</f>
        <v>1.6558666041569197</v>
      </c>
      <c r="P218" s="45"/>
      <c r="Q218" s="45"/>
      <c r="R218" s="45"/>
      <c r="S218" s="45"/>
      <c r="T218" s="45"/>
      <c r="U218" s="45"/>
      <c r="V218" s="45"/>
      <c r="W218" s="45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41" t="s">
        <v>21</v>
      </c>
      <c r="B219" s="41" t="s">
        <v>35</v>
      </c>
      <c r="C219" s="41" t="s">
        <v>39</v>
      </c>
      <c r="D219" s="41" t="s">
        <v>49</v>
      </c>
      <c r="E219" s="41" t="s">
        <v>50</v>
      </c>
      <c r="F219" s="41" t="s">
        <v>25</v>
      </c>
      <c r="G219" s="41" t="s">
        <v>25</v>
      </c>
      <c r="H219" s="41" t="s">
        <v>37</v>
      </c>
      <c r="I219" s="61">
        <v>44562</v>
      </c>
      <c r="J219" s="62">
        <f>EFEITO!$J$219*EFEITO!$Y$164</f>
        <v>0</v>
      </c>
      <c r="K219" s="62">
        <f ca="1">EFEITO!$L$219*EFEITO!$Z$164</f>
        <v>1263.4328497061038</v>
      </c>
      <c r="L219" s="62">
        <f>EFEITO!$N$219*EFEITO!$AA$164</f>
        <v>65.715498069263802</v>
      </c>
      <c r="M219" s="62">
        <f>$J$219-EFEITO!$K$219*EFEITO!$Y$219</f>
        <v>0</v>
      </c>
      <c r="N219" s="62">
        <f ca="1">$K$219-EFEITO!$M$219*EFEITO!$Z$219</f>
        <v>37.902985491183017</v>
      </c>
      <c r="O219" s="62">
        <f>$L$219-EFEITO!$O$219*EFEITO!$AA$219</f>
        <v>1.9714649420779153</v>
      </c>
      <c r="P219" s="45"/>
      <c r="Q219" s="45"/>
      <c r="R219" s="45"/>
      <c r="S219" s="45"/>
      <c r="T219" s="45"/>
      <c r="U219" s="45"/>
      <c r="V219" s="45"/>
      <c r="W219" s="45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41" t="s">
        <v>21</v>
      </c>
      <c r="B220" s="41" t="s">
        <v>35</v>
      </c>
      <c r="C220" s="41" t="s">
        <v>39</v>
      </c>
      <c r="D220" s="41" t="s">
        <v>49</v>
      </c>
      <c r="E220" s="41" t="s">
        <v>50</v>
      </c>
      <c r="F220" s="41" t="s">
        <v>25</v>
      </c>
      <c r="G220" s="41" t="s">
        <v>25</v>
      </c>
      <c r="H220" s="41" t="s">
        <v>37</v>
      </c>
      <c r="I220" s="61">
        <v>44593</v>
      </c>
      <c r="J220" s="62">
        <f>EFEITO!$J$220*EFEITO!$Y$164</f>
        <v>0</v>
      </c>
      <c r="K220" s="62">
        <f ca="1">EFEITO!$L$220*EFEITO!$Z$164</f>
        <v>1121.5921555603043</v>
      </c>
      <c r="L220" s="62">
        <f>EFEITO!$N$220*EFEITO!$AA$164</f>
        <v>58.337874585396357</v>
      </c>
      <c r="M220" s="62">
        <f>$J$220-EFEITO!$K$220*EFEITO!$Y$220</f>
        <v>0</v>
      </c>
      <c r="N220" s="62">
        <f ca="1">$K$220-EFEITO!$M$220*EFEITO!$Z$220</f>
        <v>33.64776466680928</v>
      </c>
      <c r="O220" s="62">
        <f>$L$220-EFEITO!$O$220*EFEITO!$AA$220</f>
        <v>1.7501362375619038</v>
      </c>
      <c r="P220" s="45"/>
      <c r="Q220" s="45"/>
      <c r="R220" s="45"/>
      <c r="S220" s="45"/>
      <c r="T220" s="45"/>
      <c r="U220" s="45"/>
      <c r="V220" s="45"/>
      <c r="W220" s="45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41" t="s">
        <v>21</v>
      </c>
      <c r="B221" s="41" t="s">
        <v>35</v>
      </c>
      <c r="C221" s="41" t="s">
        <v>39</v>
      </c>
      <c r="D221" s="41" t="s">
        <v>49</v>
      </c>
      <c r="E221" s="41" t="s">
        <v>50</v>
      </c>
      <c r="F221" s="41" t="s">
        <v>25</v>
      </c>
      <c r="G221" s="41" t="s">
        <v>25</v>
      </c>
      <c r="H221" s="41" t="s">
        <v>37</v>
      </c>
      <c r="I221" s="61">
        <v>44621</v>
      </c>
      <c r="J221" s="62">
        <f>EFEITO!$J$221*EFEITO!$Y$164</f>
        <v>0</v>
      </c>
      <c r="K221" s="62">
        <f ca="1">EFEITO!$L$221*EFEITO!$Z$164</f>
        <v>1061.1785265722785</v>
      </c>
      <c r="L221" s="62">
        <f>EFEITO!$N$221*EFEITO!$AA$164</f>
        <v>55.195553471897256</v>
      </c>
      <c r="M221" s="62">
        <f>$J$221-EFEITO!$K$221*EFEITO!$Y$221</f>
        <v>0</v>
      </c>
      <c r="N221" s="62">
        <f ca="1">$K$221-EFEITO!$M$221*EFEITO!$Z$221</f>
        <v>31.835355797168404</v>
      </c>
      <c r="O221" s="62">
        <f>$L$221-EFEITO!$O$221*EFEITO!$AA$221</f>
        <v>1.6558666041569197</v>
      </c>
      <c r="P221" s="45"/>
      <c r="Q221" s="45"/>
      <c r="R221" s="45"/>
      <c r="S221" s="45"/>
      <c r="T221" s="45"/>
      <c r="U221" s="45"/>
      <c r="V221" s="45"/>
      <c r="W221" s="45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41" t="s">
        <v>21</v>
      </c>
      <c r="B222" s="41" t="s">
        <v>35</v>
      </c>
      <c r="C222" s="41" t="s">
        <v>39</v>
      </c>
      <c r="D222" s="41" t="s">
        <v>49</v>
      </c>
      <c r="E222" s="41" t="s">
        <v>50</v>
      </c>
      <c r="F222" s="41" t="s">
        <v>25</v>
      </c>
      <c r="G222" s="41" t="s">
        <v>25</v>
      </c>
      <c r="H222" s="41" t="s">
        <v>37</v>
      </c>
      <c r="I222" s="61">
        <v>44652</v>
      </c>
      <c r="J222" s="62">
        <f>EFEITO!$J$222*EFEITO!$Y$164</f>
        <v>0</v>
      </c>
      <c r="K222" s="62">
        <f ca="1">EFEITO!$L$222*EFEITO!$Z$164</f>
        <v>1799.2754720346802</v>
      </c>
      <c r="L222" s="62">
        <f>EFEITO!$N$222*EFEITO!$AA$164</f>
        <v>93.58652011942975</v>
      </c>
      <c r="M222" s="62">
        <f>$J$222-EFEITO!$K$222*EFEITO!$Y$222</f>
        <v>0</v>
      </c>
      <c r="N222" s="62">
        <f ca="1">$K$222-EFEITO!$M$222*EFEITO!$Z$222</f>
        <v>53.978264161040443</v>
      </c>
      <c r="O222" s="62">
        <f>$L$222-EFEITO!$O$222*EFEITO!$AA$222</f>
        <v>2.8075956035828966</v>
      </c>
      <c r="P222" s="45"/>
      <c r="Q222" s="45"/>
      <c r="R222" s="45"/>
      <c r="S222" s="45"/>
      <c r="T222" s="45"/>
      <c r="U222" s="45"/>
      <c r="V222" s="45"/>
      <c r="W222" s="45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41" t="s">
        <v>21</v>
      </c>
      <c r="B223" s="41" t="s">
        <v>35</v>
      </c>
      <c r="C223" s="41" t="s">
        <v>39</v>
      </c>
      <c r="D223" s="41" t="s">
        <v>49</v>
      </c>
      <c r="E223" s="41" t="s">
        <v>50</v>
      </c>
      <c r="F223" s="41" t="s">
        <v>25</v>
      </c>
      <c r="G223" s="41" t="s">
        <v>25</v>
      </c>
      <c r="H223" s="41" t="s">
        <v>37</v>
      </c>
      <c r="I223" s="61">
        <v>44682</v>
      </c>
      <c r="J223" s="62">
        <f>EFEITO!$J$223*EFEITO!$Y$164</f>
        <v>0</v>
      </c>
      <c r="K223" s="62">
        <f ca="1">EFEITO!$L$223*EFEITO!$Z$164</f>
        <v>1576.0077127311067</v>
      </c>
      <c r="L223" s="62">
        <f>EFEITO!$N$223*EFEITO!$AA$164</f>
        <v>81.973594265193938</v>
      </c>
      <c r="M223" s="62">
        <f>$J$223-EFEITO!$K$223*EFEITO!$Y$223</f>
        <v>0</v>
      </c>
      <c r="N223" s="62">
        <f ca="1">$K$223-EFEITO!$M$223*EFEITO!$Z$223</f>
        <v>47.28023138193339</v>
      </c>
      <c r="O223" s="62">
        <f>$L$223-EFEITO!$O$223*EFEITO!$AA$223</f>
        <v>2.4592078279558223</v>
      </c>
      <c r="P223" s="45"/>
      <c r="Q223" s="45"/>
      <c r="R223" s="45"/>
      <c r="S223" s="45"/>
      <c r="T223" s="45"/>
      <c r="U223" s="45"/>
      <c r="V223" s="45"/>
      <c r="W223" s="45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41" t="s">
        <v>21</v>
      </c>
      <c r="B224" s="41" t="s">
        <v>35</v>
      </c>
      <c r="C224" s="41" t="s">
        <v>39</v>
      </c>
      <c r="D224" s="41" t="s">
        <v>49</v>
      </c>
      <c r="E224" s="41" t="s">
        <v>50</v>
      </c>
      <c r="F224" s="41" t="s">
        <v>25</v>
      </c>
      <c r="G224" s="41" t="s">
        <v>25</v>
      </c>
      <c r="H224" s="41" t="s">
        <v>37</v>
      </c>
      <c r="I224" s="61">
        <v>44713</v>
      </c>
      <c r="J224" s="62">
        <f>EFEITO!$J$224*EFEITO!$Y$164</f>
        <v>0</v>
      </c>
      <c r="K224" s="62">
        <f ca="1">EFEITO!$L$224*EFEITO!$Z$164</f>
        <v>1830.7956262893022</v>
      </c>
      <c r="L224" s="62">
        <f>EFEITO!$N$224*EFEITO!$AA$164</f>
        <v>95.225992004733627</v>
      </c>
      <c r="M224" s="62">
        <f>$J$224-EFEITO!$K$224*EFEITO!$Y$224</f>
        <v>0</v>
      </c>
      <c r="N224" s="62">
        <f ca="1">$K$224-EFEITO!$M$224*EFEITO!$Z$224</f>
        <v>54.923868788679101</v>
      </c>
      <c r="O224" s="62">
        <f>$L$224-EFEITO!$O$224*EFEITO!$AA$224</f>
        <v>2.8567797601420182</v>
      </c>
      <c r="P224" s="45"/>
      <c r="Q224" s="45"/>
      <c r="R224" s="45"/>
      <c r="S224" s="45"/>
      <c r="T224" s="45"/>
      <c r="U224" s="45"/>
      <c r="V224" s="45"/>
      <c r="W224" s="45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41" t="s">
        <v>21</v>
      </c>
      <c r="B225" s="41" t="s">
        <v>35</v>
      </c>
      <c r="C225" s="41" t="s">
        <v>39</v>
      </c>
      <c r="D225" s="41" t="s">
        <v>49</v>
      </c>
      <c r="E225" s="41" t="s">
        <v>50</v>
      </c>
      <c r="F225" s="41" t="s">
        <v>25</v>
      </c>
      <c r="G225" s="41" t="s">
        <v>25</v>
      </c>
      <c r="H225" s="41" t="s">
        <v>37</v>
      </c>
      <c r="I225" s="61">
        <v>44743</v>
      </c>
      <c r="J225" s="62">
        <f>EFEITO!$J$225*EFEITO!$Y$164</f>
        <v>0</v>
      </c>
      <c r="K225" s="62">
        <f ca="1">EFEITO!$L$225*EFEITO!$Z$164</f>
        <v>1730.981804482999</v>
      </c>
      <c r="L225" s="62">
        <f>EFEITO!$N$225*EFEITO!$AA$164</f>
        <v>90.034331034604676</v>
      </c>
      <c r="M225" s="62">
        <f>$J$225-EFEITO!$K$225*EFEITO!$Y$225</f>
        <v>0</v>
      </c>
      <c r="N225" s="62">
        <f ca="1">$K$225-EFEITO!$M$225*EFEITO!$Z$225</f>
        <v>51.929454134490015</v>
      </c>
      <c r="O225" s="62">
        <f>$L$225-EFEITO!$O$225*EFEITO!$AA$225</f>
        <v>2.7010299310381498</v>
      </c>
      <c r="P225" s="45"/>
      <c r="Q225" s="45"/>
      <c r="R225" s="45"/>
      <c r="S225" s="45"/>
      <c r="T225" s="45"/>
      <c r="U225" s="45"/>
      <c r="V225" s="45"/>
      <c r="W225" s="45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41" t="s">
        <v>55</v>
      </c>
      <c r="B226" s="41" t="s">
        <v>35</v>
      </c>
      <c r="C226" s="41" t="s">
        <v>39</v>
      </c>
      <c r="D226" s="41" t="s">
        <v>49</v>
      </c>
      <c r="E226" s="41" t="s">
        <v>50</v>
      </c>
      <c r="F226" s="41" t="s">
        <v>25</v>
      </c>
      <c r="G226" s="41" t="s">
        <v>25</v>
      </c>
      <c r="H226" s="41" t="s">
        <v>37</v>
      </c>
      <c r="I226" s="61">
        <v>44774</v>
      </c>
      <c r="J226" s="62">
        <f>EFEITO!$J$226*EFEITO!$Y$164</f>
        <v>0</v>
      </c>
      <c r="K226" s="62">
        <f ca="1">EFEITO!$L$226*EFEITO!$Z$164</f>
        <v>1730.981804482999</v>
      </c>
      <c r="L226" s="62">
        <f>EFEITO!$N$226*EFEITO!$AA$164</f>
        <v>90.034331034604676</v>
      </c>
      <c r="M226" s="62">
        <f>$J$226-EFEITO!$K$226*EFEITO!$Y$226</f>
        <v>0</v>
      </c>
      <c r="N226" s="62">
        <f ca="1">$K$226-EFEITO!$M$226*EFEITO!$Z$226</f>
        <v>51.929454134490015</v>
      </c>
      <c r="O226" s="62">
        <f>$L$226-EFEITO!$O$226*EFEITO!$AA$226</f>
        <v>2.7010299310381498</v>
      </c>
      <c r="P226" s="45"/>
      <c r="Q226" s="45"/>
      <c r="R226" s="45"/>
      <c r="S226" s="45"/>
      <c r="T226" s="45"/>
      <c r="U226" s="45"/>
      <c r="V226" s="45"/>
      <c r="W226" s="45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41" t="s">
        <v>21</v>
      </c>
      <c r="B227" s="41" t="s">
        <v>22</v>
      </c>
      <c r="C227" s="41" t="s">
        <v>23</v>
      </c>
      <c r="D227" s="41" t="s">
        <v>24</v>
      </c>
      <c r="E227" s="41" t="s">
        <v>24</v>
      </c>
      <c r="F227" s="41" t="s">
        <v>25</v>
      </c>
      <c r="G227" s="41" t="s">
        <v>25</v>
      </c>
      <c r="H227" s="41" t="s">
        <v>25</v>
      </c>
      <c r="I227" s="61">
        <v>44440</v>
      </c>
      <c r="J227" s="62">
        <f>EFEITO!$J$227*EFEITO!$Y$227</f>
        <v>0</v>
      </c>
      <c r="K227" s="62">
        <f ca="1">EFEITO!$L$227*EFEITO!$Z$227</f>
        <v>1389273.5269174599</v>
      </c>
      <c r="L227" s="62">
        <f>EFEITO!$N$227*EFEITO!$AA$227</f>
        <v>321589.51468052546</v>
      </c>
      <c r="M227" s="62">
        <f>$J$227-EFEITO!$K$227*EFEITO!$Y$227</f>
        <v>0</v>
      </c>
      <c r="N227" s="62">
        <f ca="1">$K$227-EFEITO!$M$227*EFEITO!$Z$227</f>
        <v>0</v>
      </c>
      <c r="O227" s="62">
        <f>$L$227-EFEITO!$O$227*EFEITO!$AA$227</f>
        <v>0</v>
      </c>
      <c r="P227" s="45"/>
      <c r="Q227" s="45"/>
      <c r="R227" s="45"/>
      <c r="S227" s="45"/>
      <c r="T227" s="45"/>
      <c r="U227" s="45"/>
      <c r="V227" s="45"/>
      <c r="W227" s="45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41" t="s">
        <v>27</v>
      </c>
      <c r="B228" s="41" t="s">
        <v>22</v>
      </c>
      <c r="C228" s="41" t="s">
        <v>23</v>
      </c>
      <c r="D228" s="41" t="s">
        <v>24</v>
      </c>
      <c r="E228" s="41" t="s">
        <v>24</v>
      </c>
      <c r="F228" s="41" t="s">
        <v>25</v>
      </c>
      <c r="G228" s="41" t="s">
        <v>25</v>
      </c>
      <c r="H228" s="41" t="s">
        <v>25</v>
      </c>
      <c r="I228" s="61">
        <v>44440</v>
      </c>
      <c r="J228" s="62">
        <f>EFEITO!$J$228*EFEITO!$Y$228</f>
        <v>0</v>
      </c>
      <c r="K228" s="62">
        <f ca="1">EFEITO!$L$228*EFEITO!$Z$228</f>
        <v>-1915.2404632267271</v>
      </c>
      <c r="L228" s="62">
        <f>EFEITO!$N$228*EFEITO!$AA$228</f>
        <v>-443.34052231759057</v>
      </c>
      <c r="M228" s="62">
        <f>$J$228-EFEITO!$K$228*EFEITO!$Y$228</f>
        <v>0</v>
      </c>
      <c r="N228" s="62">
        <f ca="1">$K$228-EFEITO!$M$228*EFEITO!$Z$228</f>
        <v>0</v>
      </c>
      <c r="O228" s="62">
        <f>$L$228-EFEITO!$O$228*EFEITO!$AA$228</f>
        <v>0</v>
      </c>
      <c r="P228" s="45"/>
      <c r="Q228" s="45"/>
      <c r="R228" s="45"/>
      <c r="S228" s="45"/>
      <c r="T228" s="45"/>
      <c r="U228" s="45"/>
      <c r="V228" s="45"/>
      <c r="W228" s="45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41" t="s">
        <v>28</v>
      </c>
      <c r="B229" s="41" t="s">
        <v>22</v>
      </c>
      <c r="C229" s="41" t="s">
        <v>23</v>
      </c>
      <c r="D229" s="41" t="s">
        <v>24</v>
      </c>
      <c r="E229" s="41" t="s">
        <v>24</v>
      </c>
      <c r="F229" s="41" t="s">
        <v>25</v>
      </c>
      <c r="G229" s="41" t="s">
        <v>25</v>
      </c>
      <c r="H229" s="41" t="s">
        <v>25</v>
      </c>
      <c r="I229" s="61">
        <v>44440</v>
      </c>
      <c r="J229" s="62">
        <f>EFEITO!$J$229*EFEITO!$Y$229</f>
        <v>0</v>
      </c>
      <c r="K229" s="62">
        <f ca="1">EFEITO!$L$229*EFEITO!$Z$229</f>
        <v>3794.4779470214571</v>
      </c>
      <c r="L229" s="62">
        <f>EFEITO!$N$229*EFEITO!$AA$229</f>
        <v>878.34706255155311</v>
      </c>
      <c r="M229" s="62">
        <f>$J$229-EFEITO!$K$229*EFEITO!$Y$229</f>
        <v>0</v>
      </c>
      <c r="N229" s="62">
        <f ca="1">$K$229-EFEITO!$M$229*EFEITO!$Z$229</f>
        <v>0</v>
      </c>
      <c r="O229" s="62">
        <f>$L$229-EFEITO!$O$229*EFEITO!$AA$229</f>
        <v>0</v>
      </c>
      <c r="P229" s="45"/>
      <c r="Q229" s="45"/>
      <c r="R229" s="45"/>
      <c r="S229" s="45"/>
      <c r="T229" s="45"/>
      <c r="U229" s="45"/>
      <c r="V229" s="45"/>
      <c r="W229" s="45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41" t="s">
        <v>21</v>
      </c>
      <c r="B230" s="41" t="s">
        <v>22</v>
      </c>
      <c r="C230" s="41" t="s">
        <v>23</v>
      </c>
      <c r="D230" s="41" t="s">
        <v>24</v>
      </c>
      <c r="E230" s="41" t="s">
        <v>24</v>
      </c>
      <c r="F230" s="41" t="s">
        <v>25</v>
      </c>
      <c r="G230" s="41" t="s">
        <v>25</v>
      </c>
      <c r="H230" s="41" t="s">
        <v>25</v>
      </c>
      <c r="I230" s="61">
        <v>44470</v>
      </c>
      <c r="J230" s="62">
        <f>EFEITO!$J$230*EFEITO!$Y$230</f>
        <v>0</v>
      </c>
      <c r="K230" s="62">
        <f ca="1">EFEITO!$L$230*EFEITO!$Z$230</f>
        <v>1381791.9897489354</v>
      </c>
      <c r="L230" s="62">
        <f>EFEITO!$N$230*EFEITO!$AA$230</f>
        <v>319857.68587901612</v>
      </c>
      <c r="M230" s="62">
        <f>$J$230-EFEITO!$K$230*EFEITO!$Y$230</f>
        <v>0</v>
      </c>
      <c r="N230" s="62">
        <f ca="1">$K$230-EFEITO!$M$230*EFEITO!$Z$230</f>
        <v>0</v>
      </c>
      <c r="O230" s="62">
        <f>$L$230-EFEITO!$O$230*EFEITO!$AA$230</f>
        <v>0</v>
      </c>
      <c r="P230" s="45"/>
      <c r="Q230" s="45"/>
      <c r="R230" s="45"/>
      <c r="S230" s="45"/>
      <c r="T230" s="45"/>
      <c r="U230" s="45"/>
      <c r="V230" s="45"/>
      <c r="W230" s="45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41" t="s">
        <v>27</v>
      </c>
      <c r="B231" s="41" t="s">
        <v>22</v>
      </c>
      <c r="C231" s="41" t="s">
        <v>23</v>
      </c>
      <c r="D231" s="41" t="s">
        <v>24</v>
      </c>
      <c r="E231" s="41" t="s">
        <v>24</v>
      </c>
      <c r="F231" s="41" t="s">
        <v>25</v>
      </c>
      <c r="G231" s="41" t="s">
        <v>25</v>
      </c>
      <c r="H231" s="41" t="s">
        <v>25</v>
      </c>
      <c r="I231" s="61">
        <v>44470</v>
      </c>
      <c r="J231" s="62">
        <f>EFEITO!$J$231*EFEITO!$Y$231</f>
        <v>0</v>
      </c>
      <c r="K231" s="62">
        <f ca="1">EFEITO!$L$231*EFEITO!$Z$231</f>
        <v>-11075.342771170888</v>
      </c>
      <c r="L231" s="62">
        <f>EFEITO!$N$231*EFEITO!$AA$231</f>
        <v>-2563.7241606439406</v>
      </c>
      <c r="M231" s="62">
        <f>$J$231-EFEITO!$K$231*EFEITO!$Y$231</f>
        <v>0</v>
      </c>
      <c r="N231" s="62">
        <f ca="1">$K$231-EFEITO!$M$231*EFEITO!$Z$231</f>
        <v>0</v>
      </c>
      <c r="O231" s="62">
        <f>$L$231-EFEITO!$O$231*EFEITO!$AA$231</f>
        <v>0</v>
      </c>
      <c r="P231" s="45"/>
      <c r="Q231" s="45"/>
      <c r="R231" s="45"/>
      <c r="S231" s="45"/>
      <c r="T231" s="45"/>
      <c r="U231" s="45"/>
      <c r="V231" s="45"/>
      <c r="W231" s="4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41" t="s">
        <v>28</v>
      </c>
      <c r="B232" s="41" t="s">
        <v>22</v>
      </c>
      <c r="C232" s="41" t="s">
        <v>23</v>
      </c>
      <c r="D232" s="41" t="s">
        <v>24</v>
      </c>
      <c r="E232" s="41" t="s">
        <v>24</v>
      </c>
      <c r="F232" s="41" t="s">
        <v>25</v>
      </c>
      <c r="G232" s="41" t="s">
        <v>25</v>
      </c>
      <c r="H232" s="41" t="s">
        <v>25</v>
      </c>
      <c r="I232" s="61">
        <v>44470</v>
      </c>
      <c r="J232" s="62">
        <f>EFEITO!$J$232*EFEITO!$Y$232</f>
        <v>0</v>
      </c>
      <c r="K232" s="62">
        <f ca="1">EFEITO!$L$232*EFEITO!$Z$232</f>
        <v>3618.5945393044881</v>
      </c>
      <c r="L232" s="62">
        <f>EFEITO!$N$232*EFEITO!$AA$232</f>
        <v>837.63351073317347</v>
      </c>
      <c r="M232" s="62">
        <f>$J$232-EFEITO!$K$232*EFEITO!$Y$232</f>
        <v>0</v>
      </c>
      <c r="N232" s="62">
        <f ca="1">$K$232-EFEITO!$M$232*EFEITO!$Z$232</f>
        <v>0</v>
      </c>
      <c r="O232" s="62">
        <f>$L$232-EFEITO!$O$232*EFEITO!$AA$232</f>
        <v>0</v>
      </c>
      <c r="P232" s="45"/>
      <c r="Q232" s="45"/>
      <c r="R232" s="45"/>
      <c r="S232" s="45"/>
      <c r="T232" s="45"/>
      <c r="U232" s="45"/>
      <c r="V232" s="45"/>
      <c r="W232" s="4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41" t="s">
        <v>21</v>
      </c>
      <c r="B233" s="41" t="s">
        <v>22</v>
      </c>
      <c r="C233" s="41" t="s">
        <v>23</v>
      </c>
      <c r="D233" s="41" t="s">
        <v>24</v>
      </c>
      <c r="E233" s="41" t="s">
        <v>24</v>
      </c>
      <c r="F233" s="41" t="s">
        <v>25</v>
      </c>
      <c r="G233" s="41" t="s">
        <v>25</v>
      </c>
      <c r="H233" s="41" t="s">
        <v>25</v>
      </c>
      <c r="I233" s="61">
        <v>44501</v>
      </c>
      <c r="J233" s="62">
        <f>EFEITO!$J$233*EFEITO!$Y$233</f>
        <v>0</v>
      </c>
      <c r="K233" s="62">
        <f ca="1">EFEITO!$L$233*EFEITO!$Z$233</f>
        <v>1356437.0390371461</v>
      </c>
      <c r="L233" s="62">
        <f>EFEITO!$N$233*EFEITO!$AA$233</f>
        <v>313988.51315228536</v>
      </c>
      <c r="M233" s="62">
        <f>$J$233-EFEITO!$K$233*EFEITO!$Y$233</f>
        <v>0</v>
      </c>
      <c r="N233" s="62">
        <f ca="1">$K$233-EFEITO!$M$233*EFEITO!$Z$233</f>
        <v>0</v>
      </c>
      <c r="O233" s="62">
        <f>$L$233-EFEITO!$O$233*EFEITO!$AA$233</f>
        <v>0</v>
      </c>
      <c r="P233" s="45"/>
      <c r="Q233" s="45"/>
      <c r="R233" s="45"/>
      <c r="S233" s="45"/>
      <c r="T233" s="45"/>
      <c r="U233" s="45"/>
      <c r="V233" s="45"/>
      <c r="W233" s="4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41" t="s">
        <v>27</v>
      </c>
      <c r="B234" s="41" t="s">
        <v>22</v>
      </c>
      <c r="C234" s="41" t="s">
        <v>23</v>
      </c>
      <c r="D234" s="41" t="s">
        <v>24</v>
      </c>
      <c r="E234" s="41" t="s">
        <v>24</v>
      </c>
      <c r="F234" s="41" t="s">
        <v>25</v>
      </c>
      <c r="G234" s="41" t="s">
        <v>25</v>
      </c>
      <c r="H234" s="41" t="s">
        <v>25</v>
      </c>
      <c r="I234" s="61">
        <v>44501</v>
      </c>
      <c r="J234" s="62">
        <f>EFEITO!$J$234*EFEITO!$Y$234</f>
        <v>0</v>
      </c>
      <c r="K234" s="62">
        <f ca="1">EFEITO!$L$234*EFEITO!$Z$234</f>
        <v>-6428.0073605554035</v>
      </c>
      <c r="L234" s="62">
        <f>EFEITO!$N$234*EFEITO!$AA$234</f>
        <v>-1487.9573585703788</v>
      </c>
      <c r="M234" s="62">
        <f>$J$234-EFEITO!$K$234*EFEITO!$Y$234</f>
        <v>0</v>
      </c>
      <c r="N234" s="62">
        <f ca="1">$K$234-EFEITO!$M$234*EFEITO!$Z$234</f>
        <v>0</v>
      </c>
      <c r="O234" s="62">
        <f>$L$234-EFEITO!$O$234*EFEITO!$AA$234</f>
        <v>0</v>
      </c>
      <c r="P234" s="45"/>
      <c r="Q234" s="45"/>
      <c r="R234" s="45"/>
      <c r="S234" s="45"/>
      <c r="T234" s="45"/>
      <c r="U234" s="45"/>
      <c r="V234" s="45"/>
      <c r="W234" s="4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41" t="s">
        <v>28</v>
      </c>
      <c r="B235" s="41" t="s">
        <v>22</v>
      </c>
      <c r="C235" s="41" t="s">
        <v>23</v>
      </c>
      <c r="D235" s="41" t="s">
        <v>24</v>
      </c>
      <c r="E235" s="41" t="s">
        <v>24</v>
      </c>
      <c r="F235" s="41" t="s">
        <v>25</v>
      </c>
      <c r="G235" s="41" t="s">
        <v>25</v>
      </c>
      <c r="H235" s="41" t="s">
        <v>25</v>
      </c>
      <c r="I235" s="61">
        <v>44501</v>
      </c>
      <c r="J235" s="62">
        <f>EFEITO!$J$235*EFEITO!$Y$235</f>
        <v>0</v>
      </c>
      <c r="K235" s="62">
        <f ca="1">EFEITO!$L$235*EFEITO!$Z$235</f>
        <v>3004.1830378502436</v>
      </c>
      <c r="L235" s="62">
        <f>EFEITO!$N$235*EFEITO!$AA$235</f>
        <v>695.40932468306187</v>
      </c>
      <c r="M235" s="62">
        <f>$J$235-EFEITO!$K$235*EFEITO!$Y$235</f>
        <v>0</v>
      </c>
      <c r="N235" s="62">
        <f ca="1">$K$235-EFEITO!$M$235*EFEITO!$Z$235</f>
        <v>0</v>
      </c>
      <c r="O235" s="62">
        <f>$L$235-EFEITO!$O$235*EFEITO!$AA$235</f>
        <v>0</v>
      </c>
      <c r="P235" s="45"/>
      <c r="Q235" s="45"/>
      <c r="R235" s="45"/>
      <c r="S235" s="45"/>
      <c r="T235" s="45"/>
      <c r="U235" s="45"/>
      <c r="V235" s="45"/>
      <c r="W235" s="4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41" t="s">
        <v>21</v>
      </c>
      <c r="B236" s="41" t="s">
        <v>22</v>
      </c>
      <c r="C236" s="41" t="s">
        <v>23</v>
      </c>
      <c r="D236" s="41" t="s">
        <v>24</v>
      </c>
      <c r="E236" s="41" t="s">
        <v>24</v>
      </c>
      <c r="F236" s="41" t="s">
        <v>25</v>
      </c>
      <c r="G236" s="41" t="s">
        <v>25</v>
      </c>
      <c r="H236" s="41" t="s">
        <v>25</v>
      </c>
      <c r="I236" s="61">
        <v>44531</v>
      </c>
      <c r="J236" s="62">
        <f>EFEITO!$J$236*EFEITO!$Y$236</f>
        <v>0</v>
      </c>
      <c r="K236" s="62">
        <f ca="1">EFEITO!$L$236*EFEITO!$Z$236</f>
        <v>1448481.902125323</v>
      </c>
      <c r="L236" s="62">
        <f>EFEITO!$N$236*EFEITO!$AA$236</f>
        <v>335295.08977369458</v>
      </c>
      <c r="M236" s="62">
        <f>$J$236-EFEITO!$K$236*EFEITO!$Y$236</f>
        <v>0</v>
      </c>
      <c r="N236" s="62">
        <f ca="1">$K$236-EFEITO!$M$236*EFEITO!$Z$236</f>
        <v>0</v>
      </c>
      <c r="O236" s="62">
        <f>$L$236-EFEITO!$O$236*EFEITO!$AA$236</f>
        <v>0</v>
      </c>
      <c r="P236" s="45"/>
      <c r="Q236" s="45"/>
      <c r="R236" s="45"/>
      <c r="S236" s="45"/>
      <c r="T236" s="45"/>
      <c r="U236" s="45"/>
      <c r="V236" s="45"/>
      <c r="W236" s="4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41" t="s">
        <v>27</v>
      </c>
      <c r="B237" s="41" t="s">
        <v>22</v>
      </c>
      <c r="C237" s="41" t="s">
        <v>23</v>
      </c>
      <c r="D237" s="41" t="s">
        <v>24</v>
      </c>
      <c r="E237" s="41" t="s">
        <v>24</v>
      </c>
      <c r="F237" s="41" t="s">
        <v>25</v>
      </c>
      <c r="G237" s="41" t="s">
        <v>25</v>
      </c>
      <c r="H237" s="41" t="s">
        <v>25</v>
      </c>
      <c r="I237" s="61">
        <v>44531</v>
      </c>
      <c r="J237" s="62">
        <f>EFEITO!$J$237*EFEITO!$Y$237</f>
        <v>0</v>
      </c>
      <c r="K237" s="62">
        <f ca="1">EFEITO!$L$237*EFEITO!$Z$237</f>
        <v>-3204.2651694477354</v>
      </c>
      <c r="L237" s="62">
        <f>EFEITO!$N$237*EFEITO!$AA$237</f>
        <v>-741.72440544289657</v>
      </c>
      <c r="M237" s="62">
        <f>$J$237-EFEITO!$K$237*EFEITO!$Y$237</f>
        <v>0</v>
      </c>
      <c r="N237" s="62">
        <f ca="1">$K$237-EFEITO!$M$237*EFEITO!$Z$237</f>
        <v>0</v>
      </c>
      <c r="O237" s="62">
        <f>$L$237-EFEITO!$O$237*EFEITO!$AA$237</f>
        <v>0</v>
      </c>
      <c r="P237" s="45"/>
      <c r="Q237" s="45"/>
      <c r="R237" s="45"/>
      <c r="S237" s="45"/>
      <c r="T237" s="45"/>
      <c r="U237" s="45"/>
      <c r="V237" s="45"/>
      <c r="W237" s="45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41" t="s">
        <v>28</v>
      </c>
      <c r="B238" s="41" t="s">
        <v>22</v>
      </c>
      <c r="C238" s="41" t="s">
        <v>23</v>
      </c>
      <c r="D238" s="41" t="s">
        <v>24</v>
      </c>
      <c r="E238" s="41" t="s">
        <v>24</v>
      </c>
      <c r="F238" s="41" t="s">
        <v>25</v>
      </c>
      <c r="G238" s="41" t="s">
        <v>25</v>
      </c>
      <c r="H238" s="41" t="s">
        <v>25</v>
      </c>
      <c r="I238" s="61">
        <v>44531</v>
      </c>
      <c r="J238" s="62">
        <f>EFEITO!$J$238*EFEITO!$Y$238</f>
        <v>0</v>
      </c>
      <c r="K238" s="62">
        <f ca="1">EFEITO!$L$238*EFEITO!$Z$238</f>
        <v>3681.7473065048762</v>
      </c>
      <c r="L238" s="62">
        <f>EFEITO!$N$238*EFEITO!$AA$238</f>
        <v>852.25213504379974</v>
      </c>
      <c r="M238" s="62">
        <f>$J$238-EFEITO!$K$238*EFEITO!$Y$238</f>
        <v>0</v>
      </c>
      <c r="N238" s="62">
        <f ca="1">$K$238-EFEITO!$M$238*EFEITO!$Z$238</f>
        <v>0</v>
      </c>
      <c r="O238" s="62">
        <f>$L$238-EFEITO!$O$238*EFEITO!$AA$238</f>
        <v>0</v>
      </c>
      <c r="P238" s="45"/>
      <c r="Q238" s="45"/>
      <c r="R238" s="45"/>
      <c r="S238" s="45"/>
      <c r="T238" s="45"/>
      <c r="U238" s="45"/>
      <c r="V238" s="45"/>
      <c r="W238" s="4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41" t="s">
        <v>21</v>
      </c>
      <c r="B239" s="41" t="s">
        <v>22</v>
      </c>
      <c r="C239" s="41" t="s">
        <v>23</v>
      </c>
      <c r="D239" s="41" t="s">
        <v>24</v>
      </c>
      <c r="E239" s="41" t="s">
        <v>24</v>
      </c>
      <c r="F239" s="41" t="s">
        <v>25</v>
      </c>
      <c r="G239" s="41" t="s">
        <v>25</v>
      </c>
      <c r="H239" s="41" t="s">
        <v>25</v>
      </c>
      <c r="I239" s="61">
        <v>44562</v>
      </c>
      <c r="J239" s="62">
        <f>EFEITO!$J$239*EFEITO!$Y$239</f>
        <v>0</v>
      </c>
      <c r="K239" s="62">
        <f ca="1">EFEITO!$L$239*EFEITO!$Z$239</f>
        <v>1759312.7397323032</v>
      </c>
      <c r="L239" s="62">
        <f>EFEITO!$N$239*EFEITO!$AA$239</f>
        <v>407246.3191587117</v>
      </c>
      <c r="M239" s="62">
        <f>$J$239-EFEITO!$K$239*EFEITO!$Y$239</f>
        <v>0</v>
      </c>
      <c r="N239" s="62">
        <f ca="1">$K$239-EFEITO!$M$239*EFEITO!$Z$239</f>
        <v>0</v>
      </c>
      <c r="O239" s="62">
        <f>$L$239-EFEITO!$O$239*EFEITO!$AA$239</f>
        <v>0</v>
      </c>
      <c r="P239" s="45"/>
      <c r="Q239" s="45"/>
      <c r="R239" s="45"/>
      <c r="S239" s="45"/>
      <c r="T239" s="45"/>
      <c r="U239" s="45"/>
      <c r="V239" s="45"/>
      <c r="W239" s="4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41" t="s">
        <v>27</v>
      </c>
      <c r="B240" s="41" t="s">
        <v>22</v>
      </c>
      <c r="C240" s="41" t="s">
        <v>23</v>
      </c>
      <c r="D240" s="41" t="s">
        <v>24</v>
      </c>
      <c r="E240" s="41" t="s">
        <v>24</v>
      </c>
      <c r="F240" s="41" t="s">
        <v>25</v>
      </c>
      <c r="G240" s="41" t="s">
        <v>25</v>
      </c>
      <c r="H240" s="41" t="s">
        <v>25</v>
      </c>
      <c r="I240" s="61">
        <v>44562</v>
      </c>
      <c r="J240" s="62">
        <f>EFEITO!$J$240*EFEITO!$Y$240</f>
        <v>0</v>
      </c>
      <c r="K240" s="62">
        <f ca="1">EFEITO!$L$240*EFEITO!$Z$240</f>
        <v>-2182.0166386900491</v>
      </c>
      <c r="L240" s="62">
        <f>EFEITO!$N$240*EFEITO!$AA$240</f>
        <v>-505.09396333070333</v>
      </c>
      <c r="M240" s="62">
        <f>$J$240-EFEITO!$K$240*EFEITO!$Y$240</f>
        <v>0</v>
      </c>
      <c r="N240" s="62">
        <f ca="1">$K$240-EFEITO!$M$240*EFEITO!$Z$240</f>
        <v>0</v>
      </c>
      <c r="O240" s="62">
        <f>$L$240-EFEITO!$O$240*EFEITO!$AA$240</f>
        <v>0</v>
      </c>
      <c r="P240" s="45"/>
      <c r="Q240" s="45"/>
      <c r="R240" s="45"/>
      <c r="S240" s="45"/>
      <c r="T240" s="45"/>
      <c r="U240" s="45"/>
      <c r="V240" s="45"/>
      <c r="W240" s="4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41" t="s">
        <v>28</v>
      </c>
      <c r="B241" s="41" t="s">
        <v>22</v>
      </c>
      <c r="C241" s="41" t="s">
        <v>23</v>
      </c>
      <c r="D241" s="41" t="s">
        <v>24</v>
      </c>
      <c r="E241" s="41" t="s">
        <v>24</v>
      </c>
      <c r="F241" s="41" t="s">
        <v>25</v>
      </c>
      <c r="G241" s="41" t="s">
        <v>25</v>
      </c>
      <c r="H241" s="41" t="s">
        <v>25</v>
      </c>
      <c r="I241" s="61">
        <v>44562</v>
      </c>
      <c r="J241" s="62">
        <f>EFEITO!$J$241*EFEITO!$Y$241</f>
        <v>0</v>
      </c>
      <c r="K241" s="62">
        <f ca="1">EFEITO!$L$241*EFEITO!$Z$241</f>
        <v>3962.6885886299679</v>
      </c>
      <c r="L241" s="62">
        <f>EFEITO!$N$241*EFEITO!$AA$241</f>
        <v>917.28451982752028</v>
      </c>
      <c r="M241" s="62">
        <f>$J$241-EFEITO!$K$241*EFEITO!$Y$241</f>
        <v>0</v>
      </c>
      <c r="N241" s="62">
        <f ca="1">$K$241-EFEITO!$M$241*EFEITO!$Z$241</f>
        <v>0</v>
      </c>
      <c r="O241" s="62">
        <f>$L$241-EFEITO!$O$241*EFEITO!$AA$241</f>
        <v>0</v>
      </c>
      <c r="P241" s="45"/>
      <c r="Q241" s="45"/>
      <c r="R241" s="45"/>
      <c r="S241" s="45"/>
      <c r="T241" s="45"/>
      <c r="U241" s="45"/>
      <c r="V241" s="45"/>
      <c r="W241" s="4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41" t="s">
        <v>21</v>
      </c>
      <c r="B242" s="41" t="s">
        <v>22</v>
      </c>
      <c r="C242" s="41" t="s">
        <v>23</v>
      </c>
      <c r="D242" s="41" t="s">
        <v>24</v>
      </c>
      <c r="E242" s="41" t="s">
        <v>24</v>
      </c>
      <c r="F242" s="41" t="s">
        <v>25</v>
      </c>
      <c r="G242" s="41" t="s">
        <v>25</v>
      </c>
      <c r="H242" s="41" t="s">
        <v>25</v>
      </c>
      <c r="I242" s="61">
        <v>44593</v>
      </c>
      <c r="J242" s="62">
        <f>EFEITO!$J$242*EFEITO!$Y$242</f>
        <v>0</v>
      </c>
      <c r="K242" s="62">
        <f ca="1">EFEITO!$L$242*EFEITO!$Z$242</f>
        <v>1772126.8493462061</v>
      </c>
      <c r="L242" s="62">
        <f>EFEITO!$N$242*EFEITO!$AA$242</f>
        <v>410212.53366719774</v>
      </c>
      <c r="M242" s="62">
        <f>$J$242-EFEITO!$K$242*EFEITO!$Y$242</f>
        <v>0</v>
      </c>
      <c r="N242" s="62">
        <f ca="1">$K$242-EFEITO!$M$242*EFEITO!$Z$242</f>
        <v>0</v>
      </c>
      <c r="O242" s="62">
        <f>$L$242-EFEITO!$O$242*EFEITO!$AA$242</f>
        <v>0</v>
      </c>
      <c r="P242" s="45"/>
      <c r="Q242" s="45"/>
      <c r="R242" s="45"/>
      <c r="S242" s="45"/>
      <c r="T242" s="45"/>
      <c r="U242" s="45"/>
      <c r="V242" s="45"/>
      <c r="W242" s="4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41" t="s">
        <v>27</v>
      </c>
      <c r="B243" s="41" t="s">
        <v>22</v>
      </c>
      <c r="C243" s="41" t="s">
        <v>23</v>
      </c>
      <c r="D243" s="41" t="s">
        <v>24</v>
      </c>
      <c r="E243" s="41" t="s">
        <v>24</v>
      </c>
      <c r="F243" s="41" t="s">
        <v>25</v>
      </c>
      <c r="G243" s="41" t="s">
        <v>25</v>
      </c>
      <c r="H243" s="41" t="s">
        <v>25</v>
      </c>
      <c r="I243" s="61">
        <v>44593</v>
      </c>
      <c r="J243" s="62">
        <f>EFEITO!$J$243*EFEITO!$Y$243</f>
        <v>0</v>
      </c>
      <c r="K243" s="62">
        <f ca="1">EFEITO!$L$243*EFEITO!$Z$243</f>
        <v>-1242.3978967926842</v>
      </c>
      <c r="L243" s="62">
        <f>EFEITO!$N$243*EFEITO!$AA$243</f>
        <v>-287.59069321372209</v>
      </c>
      <c r="M243" s="62">
        <f>$J$243-EFEITO!$K$243*EFEITO!$Y$243</f>
        <v>0</v>
      </c>
      <c r="N243" s="62">
        <f ca="1">$K$243-EFEITO!$M$243*EFEITO!$Z$243</f>
        <v>0</v>
      </c>
      <c r="O243" s="62">
        <f>$L$243-EFEITO!$O$243*EFEITO!$AA$243</f>
        <v>0</v>
      </c>
      <c r="P243" s="45"/>
      <c r="Q243" s="45"/>
      <c r="R243" s="45"/>
      <c r="S243" s="45"/>
      <c r="T243" s="45"/>
      <c r="U243" s="45"/>
      <c r="V243" s="45"/>
      <c r="W243" s="4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41" t="s">
        <v>28</v>
      </c>
      <c r="B244" s="41" t="s">
        <v>22</v>
      </c>
      <c r="C244" s="41" t="s">
        <v>23</v>
      </c>
      <c r="D244" s="41" t="s">
        <v>24</v>
      </c>
      <c r="E244" s="41" t="s">
        <v>24</v>
      </c>
      <c r="F244" s="41" t="s">
        <v>25</v>
      </c>
      <c r="G244" s="41" t="s">
        <v>25</v>
      </c>
      <c r="H244" s="41" t="s">
        <v>25</v>
      </c>
      <c r="I244" s="61">
        <v>44593</v>
      </c>
      <c r="J244" s="62">
        <f>EFEITO!$J$244*EFEITO!$Y$244</f>
        <v>0</v>
      </c>
      <c r="K244" s="62">
        <f ca="1">EFEITO!$L$244*EFEITO!$Z$244</f>
        <v>6901.3580081695281</v>
      </c>
      <c r="L244" s="62">
        <f>EFEITO!$N$244*EFEITO!$AA$244</f>
        <v>1597.5287295715211</v>
      </c>
      <c r="M244" s="62">
        <f>$J$244-EFEITO!$K$244*EFEITO!$Y$244</f>
        <v>0</v>
      </c>
      <c r="N244" s="62">
        <f ca="1">$K$244-EFEITO!$M$244*EFEITO!$Z$244</f>
        <v>0</v>
      </c>
      <c r="O244" s="62">
        <f>$L$244-EFEITO!$O$244*EFEITO!$AA$244</f>
        <v>0</v>
      </c>
      <c r="P244" s="45"/>
      <c r="Q244" s="45"/>
      <c r="R244" s="45"/>
      <c r="S244" s="45"/>
      <c r="T244" s="45"/>
      <c r="U244" s="45"/>
      <c r="V244" s="45"/>
      <c r="W244" s="4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41" t="s">
        <v>21</v>
      </c>
      <c r="B245" s="41" t="s">
        <v>22</v>
      </c>
      <c r="C245" s="41" t="s">
        <v>23</v>
      </c>
      <c r="D245" s="41" t="s">
        <v>24</v>
      </c>
      <c r="E245" s="41" t="s">
        <v>24</v>
      </c>
      <c r="F245" s="41" t="s">
        <v>25</v>
      </c>
      <c r="G245" s="41" t="s">
        <v>25</v>
      </c>
      <c r="H245" s="41" t="s">
        <v>25</v>
      </c>
      <c r="I245" s="61">
        <v>44621</v>
      </c>
      <c r="J245" s="62">
        <f>EFEITO!$J$245*EFEITO!$Y$245</f>
        <v>0</v>
      </c>
      <c r="K245" s="62">
        <f ca="1">EFEITO!$L$245*EFEITO!$Z$245</f>
        <v>1631333.9521071052</v>
      </c>
      <c r="L245" s="62">
        <f>EFEITO!$N$245*EFEITO!$AA$245</f>
        <v>377621.74530455616</v>
      </c>
      <c r="M245" s="62">
        <f>$J$245-EFEITO!$K$245*EFEITO!$Y$245</f>
        <v>0</v>
      </c>
      <c r="N245" s="62">
        <f ca="1">$K$245-EFEITO!$M$245*EFEITO!$Z$245</f>
        <v>0</v>
      </c>
      <c r="O245" s="62">
        <f>$L$245-EFEITO!$O$245*EFEITO!$AA$245</f>
        <v>0</v>
      </c>
      <c r="P245" s="45"/>
      <c r="Q245" s="45"/>
      <c r="R245" s="45"/>
      <c r="S245" s="45"/>
      <c r="T245" s="45"/>
      <c r="U245" s="45"/>
      <c r="V245" s="45"/>
      <c r="W245" s="4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41" t="s">
        <v>27</v>
      </c>
      <c r="B246" s="41" t="s">
        <v>22</v>
      </c>
      <c r="C246" s="41" t="s">
        <v>23</v>
      </c>
      <c r="D246" s="41" t="s">
        <v>24</v>
      </c>
      <c r="E246" s="41" t="s">
        <v>24</v>
      </c>
      <c r="F246" s="41" t="s">
        <v>25</v>
      </c>
      <c r="G246" s="41" t="s">
        <v>25</v>
      </c>
      <c r="H246" s="41" t="s">
        <v>25</v>
      </c>
      <c r="I246" s="61">
        <v>44621</v>
      </c>
      <c r="J246" s="62">
        <f>EFEITO!$J$246*EFEITO!$Y$246</f>
        <v>0</v>
      </c>
      <c r="K246" s="62">
        <f ca="1">EFEITO!$L$246*EFEITO!$Z$246</f>
        <v>-2664.8106907453534</v>
      </c>
      <c r="L246" s="62">
        <f>EFEITO!$N$246*EFEITO!$AA$246</f>
        <v>-616.85129684558433</v>
      </c>
      <c r="M246" s="62">
        <f>$J$246-EFEITO!$K$246*EFEITO!$Y$246</f>
        <v>0</v>
      </c>
      <c r="N246" s="62">
        <f ca="1">$K$246-EFEITO!$M$246*EFEITO!$Z$246</f>
        <v>0</v>
      </c>
      <c r="O246" s="62">
        <f>$L$246-EFEITO!$O$246*EFEITO!$AA$246</f>
        <v>0</v>
      </c>
      <c r="P246" s="45"/>
      <c r="Q246" s="45"/>
      <c r="R246" s="45"/>
      <c r="S246" s="45"/>
      <c r="T246" s="45"/>
      <c r="U246" s="45"/>
      <c r="V246" s="45"/>
      <c r="W246" s="4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41" t="s">
        <v>28</v>
      </c>
      <c r="B247" s="41" t="s">
        <v>22</v>
      </c>
      <c r="C247" s="41" t="s">
        <v>23</v>
      </c>
      <c r="D247" s="41" t="s">
        <v>24</v>
      </c>
      <c r="E247" s="41" t="s">
        <v>24</v>
      </c>
      <c r="F247" s="41" t="s">
        <v>25</v>
      </c>
      <c r="G247" s="41" t="s">
        <v>25</v>
      </c>
      <c r="H247" s="41" t="s">
        <v>25</v>
      </c>
      <c r="I247" s="61">
        <v>44621</v>
      </c>
      <c r="J247" s="62">
        <f>EFEITO!$J$247*EFEITO!$Y$247</f>
        <v>0</v>
      </c>
      <c r="K247" s="62">
        <f ca="1">EFEITO!$L$247*EFEITO!$Z$247</f>
        <v>6874.2082204011367</v>
      </c>
      <c r="L247" s="62">
        <f>EFEITO!$N$247*EFEITO!$AA$247</f>
        <v>1591.244087344523</v>
      </c>
      <c r="M247" s="62">
        <f>$J$247-EFEITO!$K$247*EFEITO!$Y$247</f>
        <v>0</v>
      </c>
      <c r="N247" s="62">
        <f ca="1">$K$247-EFEITO!$M$247*EFEITO!$Z$247</f>
        <v>0</v>
      </c>
      <c r="O247" s="62">
        <f>$L$247-EFEITO!$O$247*EFEITO!$AA$247</f>
        <v>0</v>
      </c>
      <c r="P247" s="45"/>
      <c r="Q247" s="45"/>
      <c r="R247" s="45"/>
      <c r="S247" s="45"/>
      <c r="T247" s="45"/>
      <c r="U247" s="45"/>
      <c r="V247" s="45"/>
      <c r="W247" s="4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41" t="s">
        <v>21</v>
      </c>
      <c r="B248" s="41" t="s">
        <v>22</v>
      </c>
      <c r="C248" s="41" t="s">
        <v>23</v>
      </c>
      <c r="D248" s="41" t="s">
        <v>24</v>
      </c>
      <c r="E248" s="41" t="s">
        <v>24</v>
      </c>
      <c r="F248" s="41" t="s">
        <v>25</v>
      </c>
      <c r="G248" s="41" t="s">
        <v>25</v>
      </c>
      <c r="H248" s="41" t="s">
        <v>25</v>
      </c>
      <c r="I248" s="61">
        <v>44652</v>
      </c>
      <c r="J248" s="62">
        <f>EFEITO!$J$248*EFEITO!$Y$248</f>
        <v>0</v>
      </c>
      <c r="K248" s="62">
        <f ca="1">EFEITO!$L$248*EFEITO!$Z$248</f>
        <v>1425377.4327344222</v>
      </c>
      <c r="L248" s="62">
        <f>EFEITO!$N$248*EFEITO!$AA$248</f>
        <v>329946.85923851916</v>
      </c>
      <c r="M248" s="62">
        <f>$J$248-EFEITO!$K$248*EFEITO!$Y$248</f>
        <v>0</v>
      </c>
      <c r="N248" s="62">
        <f ca="1">$K$248-EFEITO!$M$248*EFEITO!$Z$248</f>
        <v>0</v>
      </c>
      <c r="O248" s="62">
        <f>$L$248-EFEITO!$O$248*EFEITO!$AA$248</f>
        <v>0</v>
      </c>
      <c r="P248" s="45"/>
      <c r="Q248" s="45"/>
      <c r="R248" s="45"/>
      <c r="S248" s="45"/>
      <c r="T248" s="45"/>
      <c r="U248" s="45"/>
      <c r="V248" s="45"/>
      <c r="W248" s="4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41" t="s">
        <v>27</v>
      </c>
      <c r="B249" s="41" t="s">
        <v>22</v>
      </c>
      <c r="C249" s="41" t="s">
        <v>23</v>
      </c>
      <c r="D249" s="41" t="s">
        <v>24</v>
      </c>
      <c r="E249" s="41" t="s">
        <v>24</v>
      </c>
      <c r="F249" s="41" t="s">
        <v>25</v>
      </c>
      <c r="G249" s="41" t="s">
        <v>25</v>
      </c>
      <c r="H249" s="41" t="s">
        <v>25</v>
      </c>
      <c r="I249" s="61">
        <v>44652</v>
      </c>
      <c r="J249" s="62">
        <f>EFEITO!$J$249*EFEITO!$Y$249</f>
        <v>0</v>
      </c>
      <c r="K249" s="62">
        <f ca="1">EFEITO!$L$249*EFEITO!$Z$249</f>
        <v>-1348.6361967559542</v>
      </c>
      <c r="L249" s="62">
        <f>EFEITO!$N$249*EFEITO!$AA$249</f>
        <v>-312.18277149328026</v>
      </c>
      <c r="M249" s="62">
        <f>$J$249-EFEITO!$K$249*EFEITO!$Y$249</f>
        <v>0</v>
      </c>
      <c r="N249" s="62">
        <f ca="1">$K$249-EFEITO!$M$249*EFEITO!$Z$249</f>
        <v>0</v>
      </c>
      <c r="O249" s="62">
        <f>$L$249-EFEITO!$O$249*EFEITO!$AA$249</f>
        <v>0</v>
      </c>
      <c r="P249" s="45"/>
      <c r="Q249" s="45"/>
      <c r="R249" s="45"/>
      <c r="S249" s="45"/>
      <c r="T249" s="45"/>
      <c r="U249" s="45"/>
      <c r="V249" s="45"/>
      <c r="W249" s="4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41" t="s">
        <v>28</v>
      </c>
      <c r="B250" s="41" t="s">
        <v>22</v>
      </c>
      <c r="C250" s="41" t="s">
        <v>23</v>
      </c>
      <c r="D250" s="41" t="s">
        <v>24</v>
      </c>
      <c r="E250" s="41" t="s">
        <v>24</v>
      </c>
      <c r="F250" s="41" t="s">
        <v>25</v>
      </c>
      <c r="G250" s="41" t="s">
        <v>25</v>
      </c>
      <c r="H250" s="41" t="s">
        <v>25</v>
      </c>
      <c r="I250" s="61">
        <v>44652</v>
      </c>
      <c r="J250" s="62">
        <f>EFEITO!$J$250*EFEITO!$Y$250</f>
        <v>0</v>
      </c>
      <c r="K250" s="62">
        <f ca="1">EFEITO!$L$250*EFEITO!$Z$250</f>
        <v>6505.9154471951342</v>
      </c>
      <c r="L250" s="62">
        <f>EFEITO!$N$250*EFEITO!$AA$250</f>
        <v>1505.9915493087212</v>
      </c>
      <c r="M250" s="62">
        <f>$J$250-EFEITO!$K$250*EFEITO!$Y$250</f>
        <v>0</v>
      </c>
      <c r="N250" s="62">
        <f ca="1">$K$250-EFEITO!$M$250*EFEITO!$Z$250</f>
        <v>0</v>
      </c>
      <c r="O250" s="62">
        <f>$L$250-EFEITO!$O$250*EFEITO!$AA$250</f>
        <v>0</v>
      </c>
      <c r="P250" s="45"/>
      <c r="Q250" s="45"/>
      <c r="R250" s="45"/>
      <c r="S250" s="45"/>
      <c r="T250" s="45"/>
      <c r="U250" s="45"/>
      <c r="V250" s="45"/>
      <c r="W250" s="45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41" t="s">
        <v>21</v>
      </c>
      <c r="B251" s="41" t="s">
        <v>22</v>
      </c>
      <c r="C251" s="41" t="s">
        <v>23</v>
      </c>
      <c r="D251" s="41" t="s">
        <v>24</v>
      </c>
      <c r="E251" s="41" t="s">
        <v>24</v>
      </c>
      <c r="F251" s="41" t="s">
        <v>25</v>
      </c>
      <c r="G251" s="41" t="s">
        <v>25</v>
      </c>
      <c r="H251" s="41" t="s">
        <v>25</v>
      </c>
      <c r="I251" s="61">
        <v>44682</v>
      </c>
      <c r="J251" s="62">
        <f>EFEITO!$J$251*EFEITO!$Y$251</f>
        <v>0</v>
      </c>
      <c r="K251" s="62">
        <f ca="1">EFEITO!$L$251*EFEITO!$Z$251</f>
        <v>1300480.1460209368</v>
      </c>
      <c r="L251" s="62">
        <f>EFEITO!$N$251*EFEITO!$AA$251</f>
        <v>301035.5922771279</v>
      </c>
      <c r="M251" s="62">
        <f>$J$251-EFEITO!$K$251*EFEITO!$Y$251</f>
        <v>0</v>
      </c>
      <c r="N251" s="62">
        <f ca="1">$K$251-EFEITO!$M$251*EFEITO!$Z$251</f>
        <v>0</v>
      </c>
      <c r="O251" s="62">
        <f>$L$251-EFEITO!$O$251*EFEITO!$AA$251</f>
        <v>0</v>
      </c>
      <c r="P251" s="45"/>
      <c r="Q251" s="45"/>
      <c r="R251" s="45"/>
      <c r="S251" s="45"/>
      <c r="T251" s="45"/>
      <c r="U251" s="45"/>
      <c r="V251" s="45"/>
      <c r="W251" s="45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41" t="s">
        <v>27</v>
      </c>
      <c r="B252" s="41" t="s">
        <v>22</v>
      </c>
      <c r="C252" s="41" t="s">
        <v>23</v>
      </c>
      <c r="D252" s="41" t="s">
        <v>24</v>
      </c>
      <c r="E252" s="41" t="s">
        <v>24</v>
      </c>
      <c r="F252" s="41" t="s">
        <v>25</v>
      </c>
      <c r="G252" s="41" t="s">
        <v>25</v>
      </c>
      <c r="H252" s="41" t="s">
        <v>25</v>
      </c>
      <c r="I252" s="61">
        <v>44682</v>
      </c>
      <c r="J252" s="62">
        <f>EFEITO!$J$252*EFEITO!$Y$252</f>
        <v>0</v>
      </c>
      <c r="K252" s="62">
        <f ca="1">EFEITO!$L$252*EFEITO!$Z$252</f>
        <v>-2056.8915298444203</v>
      </c>
      <c r="L252" s="62">
        <f>EFEITO!$N$252*EFEITO!$AA$252</f>
        <v>-476.1299600236681</v>
      </c>
      <c r="M252" s="62">
        <f>$J$252-EFEITO!$K$252*EFEITO!$Y$252</f>
        <v>0</v>
      </c>
      <c r="N252" s="62">
        <f ca="1">$K$252-EFEITO!$M$252*EFEITO!$Z$252</f>
        <v>0</v>
      </c>
      <c r="O252" s="62">
        <f>$L$252-EFEITO!$O$252*EFEITO!$AA$252</f>
        <v>0</v>
      </c>
      <c r="P252" s="45"/>
      <c r="Q252" s="45"/>
      <c r="R252" s="45"/>
      <c r="S252" s="45"/>
      <c r="T252" s="45"/>
      <c r="U252" s="45"/>
      <c r="V252" s="45"/>
      <c r="W252" s="45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41" t="s">
        <v>28</v>
      </c>
      <c r="B253" s="41" t="s">
        <v>22</v>
      </c>
      <c r="C253" s="41" t="s">
        <v>23</v>
      </c>
      <c r="D253" s="41" t="s">
        <v>24</v>
      </c>
      <c r="E253" s="41" t="s">
        <v>24</v>
      </c>
      <c r="F253" s="41" t="s">
        <v>25</v>
      </c>
      <c r="G253" s="41" t="s">
        <v>25</v>
      </c>
      <c r="H253" s="41" t="s">
        <v>25</v>
      </c>
      <c r="I253" s="61">
        <v>44682</v>
      </c>
      <c r="J253" s="62">
        <f>EFEITO!$J$253*EFEITO!$Y$253</f>
        <v>0</v>
      </c>
      <c r="K253" s="62">
        <f ca="1">EFEITO!$L$253*EFEITO!$Z$253</f>
        <v>8222.8444171570918</v>
      </c>
      <c r="L253" s="62">
        <f>EFEITO!$N$253*EFEITO!$AA$253</f>
        <v>1903.4268588378034</v>
      </c>
      <c r="M253" s="62">
        <f>$J$253-EFEITO!$K$253*EFEITO!$Y$253</f>
        <v>0</v>
      </c>
      <c r="N253" s="62">
        <f ca="1">$K$253-EFEITO!$M$253*EFEITO!$Z$253</f>
        <v>0</v>
      </c>
      <c r="O253" s="62">
        <f>$L$253-EFEITO!$O$253*EFEITO!$AA$253</f>
        <v>0</v>
      </c>
      <c r="P253" s="45"/>
      <c r="Q253" s="45"/>
      <c r="R253" s="45"/>
      <c r="S253" s="45"/>
      <c r="T253" s="45"/>
      <c r="U253" s="45"/>
      <c r="V253" s="45"/>
      <c r="W253" s="45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41" t="s">
        <v>21</v>
      </c>
      <c r="B254" s="41" t="s">
        <v>22</v>
      </c>
      <c r="C254" s="41" t="s">
        <v>23</v>
      </c>
      <c r="D254" s="41" t="s">
        <v>24</v>
      </c>
      <c r="E254" s="41" t="s">
        <v>24</v>
      </c>
      <c r="F254" s="41" t="s">
        <v>25</v>
      </c>
      <c r="G254" s="41" t="s">
        <v>25</v>
      </c>
      <c r="H254" s="41" t="s">
        <v>25</v>
      </c>
      <c r="I254" s="61">
        <v>44713</v>
      </c>
      <c r="J254" s="62">
        <f>EFEITO!$J$254*EFEITO!$Y$254</f>
        <v>0</v>
      </c>
      <c r="K254" s="62">
        <f ca="1">EFEITO!$L$254*EFEITO!$Z$254</f>
        <v>1466298.0650291634</v>
      </c>
      <c r="L254" s="62">
        <f>EFEITO!$N$254*EFEITO!$AA$254</f>
        <v>339419.18130117649</v>
      </c>
      <c r="M254" s="62">
        <f>$J$254-EFEITO!$K$254*EFEITO!$Y$254</f>
        <v>0</v>
      </c>
      <c r="N254" s="62">
        <f ca="1">$K$254-EFEITO!$M$254*EFEITO!$Z$254</f>
        <v>0</v>
      </c>
      <c r="O254" s="62">
        <f>$L$254-EFEITO!$O$254*EFEITO!$AA$254</f>
        <v>0</v>
      </c>
      <c r="P254" s="45"/>
      <c r="Q254" s="45"/>
      <c r="R254" s="45"/>
      <c r="S254" s="45"/>
      <c r="T254" s="45"/>
      <c r="U254" s="45"/>
      <c r="V254" s="45"/>
      <c r="W254" s="45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41" t="s">
        <v>27</v>
      </c>
      <c r="B255" s="41" t="s">
        <v>22</v>
      </c>
      <c r="C255" s="41" t="s">
        <v>23</v>
      </c>
      <c r="D255" s="41" t="s">
        <v>24</v>
      </c>
      <c r="E255" s="41" t="s">
        <v>24</v>
      </c>
      <c r="F255" s="41" t="s">
        <v>25</v>
      </c>
      <c r="G255" s="41" t="s">
        <v>25</v>
      </c>
      <c r="H255" s="41" t="s">
        <v>25</v>
      </c>
      <c r="I255" s="61">
        <v>44713</v>
      </c>
      <c r="J255" s="62">
        <f>EFEITO!$J$255*EFEITO!$Y$255</f>
        <v>0</v>
      </c>
      <c r="K255" s="62">
        <f ca="1">EFEITO!$L$255*EFEITO!$Z$255</f>
        <v>-778.49065361973896</v>
      </c>
      <c r="L255" s="62">
        <f>EFEITO!$N$255*EFEITO!$AA$255</f>
        <v>-180.20528472631801</v>
      </c>
      <c r="M255" s="62">
        <f>$J$255-EFEITO!$K$255*EFEITO!$Y$255</f>
        <v>0</v>
      </c>
      <c r="N255" s="62">
        <f ca="1">$K$255-EFEITO!$M$255*EFEITO!$Z$255</f>
        <v>0</v>
      </c>
      <c r="O255" s="62">
        <f>$L$255-EFEITO!$O$255*EFEITO!$AA$255</f>
        <v>0</v>
      </c>
      <c r="P255" s="45"/>
      <c r="Q255" s="45"/>
      <c r="R255" s="45"/>
      <c r="S255" s="45"/>
      <c r="T255" s="45"/>
      <c r="U255" s="45"/>
      <c r="V255" s="45"/>
      <c r="W255" s="45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41" t="s">
        <v>28</v>
      </c>
      <c r="B256" s="41" t="s">
        <v>22</v>
      </c>
      <c r="C256" s="41" t="s">
        <v>23</v>
      </c>
      <c r="D256" s="41" t="s">
        <v>24</v>
      </c>
      <c r="E256" s="41" t="s">
        <v>24</v>
      </c>
      <c r="F256" s="41" t="s">
        <v>25</v>
      </c>
      <c r="G256" s="41" t="s">
        <v>25</v>
      </c>
      <c r="H256" s="41" t="s">
        <v>25</v>
      </c>
      <c r="I256" s="61">
        <v>44713</v>
      </c>
      <c r="J256" s="62">
        <f>EFEITO!$J$256*EFEITO!$Y$256</f>
        <v>0</v>
      </c>
      <c r="K256" s="62">
        <f ca="1">EFEITO!$L$256*EFEITO!$Z$256</f>
        <v>13073.213023257935</v>
      </c>
      <c r="L256" s="62">
        <f>EFEITO!$N$256*EFEITO!$AA$256</f>
        <v>3026.1918549567426</v>
      </c>
      <c r="M256" s="62">
        <f>$J$256-EFEITO!$K$256*EFEITO!$Y$256</f>
        <v>0</v>
      </c>
      <c r="N256" s="62">
        <f ca="1">$K$256-EFEITO!$M$256*EFEITO!$Z$256</f>
        <v>0</v>
      </c>
      <c r="O256" s="62">
        <f>$L$256-EFEITO!$O$256*EFEITO!$AA$256</f>
        <v>0</v>
      </c>
      <c r="P256" s="45"/>
      <c r="Q256" s="45"/>
      <c r="R256" s="45"/>
      <c r="S256" s="45"/>
      <c r="T256" s="45"/>
      <c r="U256" s="45"/>
      <c r="V256" s="45"/>
      <c r="W256" s="45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41" t="s">
        <v>21</v>
      </c>
      <c r="B257" s="41" t="s">
        <v>22</v>
      </c>
      <c r="C257" s="41" t="s">
        <v>23</v>
      </c>
      <c r="D257" s="41" t="s">
        <v>24</v>
      </c>
      <c r="E257" s="41" t="s">
        <v>24</v>
      </c>
      <c r="F257" s="41" t="s">
        <v>25</v>
      </c>
      <c r="G257" s="41" t="s">
        <v>25</v>
      </c>
      <c r="H257" s="41" t="s">
        <v>25</v>
      </c>
      <c r="I257" s="61">
        <v>44743</v>
      </c>
      <c r="J257" s="62">
        <f>EFEITO!$J$257*EFEITO!$Y$257</f>
        <v>0</v>
      </c>
      <c r="K257" s="62">
        <f ca="1">EFEITO!$L$257*EFEITO!$Z$257</f>
        <v>1413163.5695153116</v>
      </c>
      <c r="L257" s="62">
        <f>EFEITO!$N$257*EFEITO!$AA$257</f>
        <v>327119.58997231262</v>
      </c>
      <c r="M257" s="62">
        <f>$J$257-EFEITO!$K$257*EFEITO!$Y$257</f>
        <v>0</v>
      </c>
      <c r="N257" s="62">
        <f ca="1">$K$257-EFEITO!$M$257*EFEITO!$Z$257</f>
        <v>0</v>
      </c>
      <c r="O257" s="62">
        <f>$L$257-EFEITO!$O$257*EFEITO!$AA$257</f>
        <v>0</v>
      </c>
      <c r="P257" s="45"/>
      <c r="Q257" s="45"/>
      <c r="R257" s="45"/>
      <c r="S257" s="45"/>
      <c r="T257" s="45"/>
      <c r="U257" s="45"/>
      <c r="V257" s="45"/>
      <c r="W257" s="45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41" t="s">
        <v>27</v>
      </c>
      <c r="B258" s="41" t="s">
        <v>22</v>
      </c>
      <c r="C258" s="41" t="s">
        <v>23</v>
      </c>
      <c r="D258" s="41" t="s">
        <v>24</v>
      </c>
      <c r="E258" s="41" t="s">
        <v>24</v>
      </c>
      <c r="F258" s="41" t="s">
        <v>25</v>
      </c>
      <c r="G258" s="41" t="s">
        <v>25</v>
      </c>
      <c r="H258" s="41" t="s">
        <v>25</v>
      </c>
      <c r="I258" s="61">
        <v>44743</v>
      </c>
      <c r="J258" s="62">
        <f>EFEITO!$J$258*EFEITO!$Y$258</f>
        <v>0</v>
      </c>
      <c r="K258" s="62">
        <f ca="1">EFEITO!$L$258*EFEITO!$Z$258</f>
        <v>-1552.2596050188881</v>
      </c>
      <c r="L258" s="62">
        <f>EFEITO!$N$258*EFEITO!$AA$258</f>
        <v>-359.31758819576675</v>
      </c>
      <c r="M258" s="62">
        <f>$J$258-EFEITO!$K$258*EFEITO!$Y$258</f>
        <v>0</v>
      </c>
      <c r="N258" s="62">
        <f ca="1">$K$258-EFEITO!$M$258*EFEITO!$Z$258</f>
        <v>0</v>
      </c>
      <c r="O258" s="62">
        <f>$L$258-EFEITO!$O$258*EFEITO!$AA$258</f>
        <v>0</v>
      </c>
      <c r="P258" s="45"/>
      <c r="Q258" s="45"/>
      <c r="R258" s="45"/>
      <c r="S258" s="45"/>
      <c r="T258" s="45"/>
      <c r="U258" s="45"/>
      <c r="V258" s="45"/>
      <c r="W258" s="45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41" t="s">
        <v>28</v>
      </c>
      <c r="B259" s="41" t="s">
        <v>22</v>
      </c>
      <c r="C259" s="41" t="s">
        <v>23</v>
      </c>
      <c r="D259" s="41" t="s">
        <v>24</v>
      </c>
      <c r="E259" s="41" t="s">
        <v>24</v>
      </c>
      <c r="F259" s="41" t="s">
        <v>25</v>
      </c>
      <c r="G259" s="41" t="s">
        <v>25</v>
      </c>
      <c r="H259" s="41" t="s">
        <v>25</v>
      </c>
      <c r="I259" s="61">
        <v>44743</v>
      </c>
      <c r="J259" s="62">
        <f>EFEITO!$J$259*EFEITO!$Y$259</f>
        <v>0</v>
      </c>
      <c r="K259" s="62">
        <f ca="1">EFEITO!$L$259*EFEITO!$Z$259</f>
        <v>13579.615586416188</v>
      </c>
      <c r="L259" s="62">
        <f>EFEITO!$N$259*EFEITO!$AA$259</f>
        <v>3143.4140947559704</v>
      </c>
      <c r="M259" s="62">
        <f>$J$259-EFEITO!$K$259*EFEITO!$Y$259</f>
        <v>0</v>
      </c>
      <c r="N259" s="62">
        <f ca="1">$K$259-EFEITO!$M$259*EFEITO!$Z$259</f>
        <v>0</v>
      </c>
      <c r="O259" s="62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41" t="s">
        <v>55</v>
      </c>
      <c r="B260" s="41" t="s">
        <v>22</v>
      </c>
      <c r="C260" s="41" t="s">
        <v>23</v>
      </c>
      <c r="D260" s="41" t="s">
        <v>24</v>
      </c>
      <c r="E260" s="41" t="s">
        <v>24</v>
      </c>
      <c r="F260" s="41" t="s">
        <v>25</v>
      </c>
      <c r="G260" s="41" t="s">
        <v>25</v>
      </c>
      <c r="H260" s="41" t="s">
        <v>25</v>
      </c>
      <c r="I260" s="61">
        <v>44774</v>
      </c>
      <c r="J260" s="62">
        <f>EFEITO!$J$260*EFEITO!$Y$260</f>
        <v>0</v>
      </c>
      <c r="K260" s="62">
        <f ca="1">EFEITO!$L$260*EFEITO!$Z$260</f>
        <v>1413163.5695153116</v>
      </c>
      <c r="L260" s="62">
        <f>EFEITO!$N$260*EFEITO!$AA$260</f>
        <v>327119.58997231262</v>
      </c>
      <c r="M260" s="62">
        <f>$J$260-EFEITO!$K$260*EFEITO!$Y$260</f>
        <v>0</v>
      </c>
      <c r="N260" s="62">
        <f ca="1">$K$260-EFEITO!$M$260*EFEITO!$Z$260</f>
        <v>0</v>
      </c>
      <c r="O260" s="62">
        <f>$L$260-EFEITO!$O$260*EFEITO!$AA$260</f>
        <v>0</v>
      </c>
      <c r="P260" s="45"/>
      <c r="Q260" s="45"/>
      <c r="R260" s="45"/>
      <c r="S260" s="45"/>
      <c r="T260" s="45"/>
      <c r="U260" s="45"/>
      <c r="V260" s="45"/>
      <c r="W260" s="45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41" t="s">
        <v>55</v>
      </c>
      <c r="B261" s="41" t="s">
        <v>22</v>
      </c>
      <c r="C261" s="41" t="s">
        <v>23</v>
      </c>
      <c r="D261" s="41" t="s">
        <v>24</v>
      </c>
      <c r="E261" s="41" t="s">
        <v>24</v>
      </c>
      <c r="F261" s="41" t="s">
        <v>25</v>
      </c>
      <c r="G261" s="41" t="s">
        <v>25</v>
      </c>
      <c r="H261" s="41" t="s">
        <v>25</v>
      </c>
      <c r="I261" s="61">
        <v>44774</v>
      </c>
      <c r="J261" s="62">
        <f>EFEITO!$J$261*EFEITO!$Y$261</f>
        <v>0</v>
      </c>
      <c r="K261" s="62">
        <f ca="1">EFEITO!$L$261*EFEITO!$Z$261</f>
        <v>-1552.2596050188881</v>
      </c>
      <c r="L261" s="62">
        <f>EFEITO!$N$261*EFEITO!$AA$261</f>
        <v>-359.31758819576675</v>
      </c>
      <c r="M261" s="62">
        <f>$J$261-EFEITO!$K$261*EFEITO!$Y$261</f>
        <v>0</v>
      </c>
      <c r="N261" s="62">
        <f ca="1">$K$261-EFEITO!$M$261*EFEITO!$Z$261</f>
        <v>0</v>
      </c>
      <c r="O261" s="62">
        <f>$L$261-EFEITO!$O$261*EFEITO!$AA$261</f>
        <v>0</v>
      </c>
      <c r="P261" s="45"/>
      <c r="Q261" s="45"/>
      <c r="R261" s="45"/>
      <c r="S261" s="45"/>
      <c r="T261" s="45"/>
      <c r="U261" s="45"/>
      <c r="V261" s="45"/>
      <c r="W261" s="45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41" t="s">
        <v>55</v>
      </c>
      <c r="B262" s="41" t="s">
        <v>22</v>
      </c>
      <c r="C262" s="41" t="s">
        <v>23</v>
      </c>
      <c r="D262" s="41" t="s">
        <v>24</v>
      </c>
      <c r="E262" s="41" t="s">
        <v>24</v>
      </c>
      <c r="F262" s="41" t="s">
        <v>25</v>
      </c>
      <c r="G262" s="41" t="s">
        <v>25</v>
      </c>
      <c r="H262" s="41" t="s">
        <v>25</v>
      </c>
      <c r="I262" s="61">
        <v>44774</v>
      </c>
      <c r="J262" s="62">
        <f>EFEITO!$J$262*EFEITO!$Y$262</f>
        <v>0</v>
      </c>
      <c r="K262" s="62">
        <f ca="1">EFEITO!$L$262*EFEITO!$Z$262</f>
        <v>13579.615586416188</v>
      </c>
      <c r="L262" s="62">
        <f>EFEITO!$N$262*EFEITO!$AA$262</f>
        <v>3143.4140947559704</v>
      </c>
      <c r="M262" s="62">
        <f>$J$262-EFEITO!$K$262*EFEITO!$Y$262</f>
        <v>0</v>
      </c>
      <c r="N262" s="62">
        <f ca="1">$K$262-EFEITO!$M$262*EFEITO!$Z$262</f>
        <v>0</v>
      </c>
      <c r="O262" s="62">
        <f>$L$262-EFEITO!$O$262*EFEITO!$AA$262</f>
        <v>0</v>
      </c>
      <c r="P262" s="45"/>
      <c r="Q262" s="45"/>
      <c r="R262" s="45"/>
      <c r="S262" s="45"/>
      <c r="T262" s="45"/>
      <c r="U262" s="45"/>
      <c r="V262" s="45"/>
      <c r="W262" s="45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41" t="s">
        <v>21</v>
      </c>
      <c r="B263" s="41" t="s">
        <v>22</v>
      </c>
      <c r="C263" s="41" t="s">
        <v>23</v>
      </c>
      <c r="D263" s="41" t="s">
        <v>24</v>
      </c>
      <c r="E263" s="41" t="s">
        <v>29</v>
      </c>
      <c r="F263" s="41" t="s">
        <v>25</v>
      </c>
      <c r="G263" s="41" t="s">
        <v>25</v>
      </c>
      <c r="H263" s="41" t="s">
        <v>25</v>
      </c>
      <c r="I263" s="61">
        <v>44440</v>
      </c>
      <c r="J263" s="62">
        <f>EFEITO!$J$263*EFEITO!$Y$227</f>
        <v>0</v>
      </c>
      <c r="K263" s="62">
        <f ca="1">EFEITO!$L$263*EFEITO!$Z$314</f>
        <v>7335.5878166524235</v>
      </c>
      <c r="L263" s="62">
        <f>EFEITO!$N$263*EFEITO!$AA$314</f>
        <v>2053.4385363431084</v>
      </c>
      <c r="M263" s="62">
        <f>$J$263-EFEITO!$K$263*EFEITO!$Y$263</f>
        <v>0</v>
      </c>
      <c r="N263" s="62">
        <f ca="1">$K$263-EFEITO!$M$263*EFEITO!$Z$263</f>
        <v>4768.1320808240753</v>
      </c>
      <c r="O263" s="62">
        <f>$L$263-EFEITO!$O$263*EFEITO!$AA$263</f>
        <v>1334.7350486230207</v>
      </c>
      <c r="P263" s="45"/>
      <c r="Q263" s="45"/>
      <c r="R263" s="45"/>
      <c r="S263" s="45"/>
      <c r="T263" s="45"/>
      <c r="U263" s="45"/>
      <c r="V263" s="45"/>
      <c r="W263" s="45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41" t="s">
        <v>21</v>
      </c>
      <c r="B264" s="41" t="s">
        <v>22</v>
      </c>
      <c r="C264" s="41" t="s">
        <v>23</v>
      </c>
      <c r="D264" s="41" t="s">
        <v>24</v>
      </c>
      <c r="E264" s="41" t="s">
        <v>29</v>
      </c>
      <c r="F264" s="41" t="s">
        <v>25</v>
      </c>
      <c r="G264" s="41" t="s">
        <v>25</v>
      </c>
      <c r="H264" s="41" t="s">
        <v>25</v>
      </c>
      <c r="I264" s="61">
        <v>44470</v>
      </c>
      <c r="J264" s="62">
        <f>EFEITO!$J$264*EFEITO!$Y$227</f>
        <v>0</v>
      </c>
      <c r="K264" s="62">
        <f ca="1">EFEITO!$L$264*EFEITO!$Z$314</f>
        <v>7496.648626998086</v>
      </c>
      <c r="L264" s="62">
        <f>EFEITO!$N$264*EFEITO!$AA$314</f>
        <v>2098.524013188965</v>
      </c>
      <c r="M264" s="62">
        <f>$J$264-EFEITO!$K$264*EFEITO!$Y$264</f>
        <v>0</v>
      </c>
      <c r="N264" s="62">
        <f ca="1">$K$264-EFEITO!$M$264*EFEITO!$Z$264</f>
        <v>4872.8216075487562</v>
      </c>
      <c r="O264" s="62">
        <f>$L$264-EFEITO!$O$264*EFEITO!$AA$264</f>
        <v>1364.0406085728273</v>
      </c>
      <c r="P264" s="45"/>
      <c r="Q264" s="45"/>
      <c r="R264" s="45"/>
      <c r="S264" s="45"/>
      <c r="T264" s="45"/>
      <c r="U264" s="45"/>
      <c r="V264" s="45"/>
      <c r="W264" s="45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41" t="s">
        <v>21</v>
      </c>
      <c r="B265" s="41" t="s">
        <v>22</v>
      </c>
      <c r="C265" s="41" t="s">
        <v>23</v>
      </c>
      <c r="D265" s="41" t="s">
        <v>24</v>
      </c>
      <c r="E265" s="41" t="s">
        <v>29</v>
      </c>
      <c r="F265" s="41" t="s">
        <v>25</v>
      </c>
      <c r="G265" s="41" t="s">
        <v>25</v>
      </c>
      <c r="H265" s="41" t="s">
        <v>25</v>
      </c>
      <c r="I265" s="61">
        <v>44501</v>
      </c>
      <c r="J265" s="62">
        <f>EFEITO!$J$265*EFEITO!$Y$227</f>
        <v>0</v>
      </c>
      <c r="K265" s="62">
        <f ca="1">EFEITO!$L$265*EFEITO!$Z$314</f>
        <v>7555.2161943965093</v>
      </c>
      <c r="L265" s="62">
        <f>EFEITO!$N$265*EFEITO!$AA$314</f>
        <v>2114.9187320420037</v>
      </c>
      <c r="M265" s="62">
        <f>$J$265-EFEITO!$K$265*EFEITO!$Y$265</f>
        <v>0</v>
      </c>
      <c r="N265" s="62">
        <f ca="1">$K$265-EFEITO!$M$265*EFEITO!$Z$265</f>
        <v>4910.8905263577308</v>
      </c>
      <c r="O265" s="62">
        <f>$L$265-EFEITO!$O$265*EFEITO!$AA$265</f>
        <v>1374.6971758273025</v>
      </c>
      <c r="P265" s="45"/>
      <c r="Q265" s="45"/>
      <c r="R265" s="45"/>
      <c r="S265" s="45"/>
      <c r="T265" s="45"/>
      <c r="U265" s="45"/>
      <c r="V265" s="45"/>
      <c r="W265" s="45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41" t="s">
        <v>21</v>
      </c>
      <c r="B266" s="41" t="s">
        <v>22</v>
      </c>
      <c r="C266" s="41" t="s">
        <v>23</v>
      </c>
      <c r="D266" s="41" t="s">
        <v>24</v>
      </c>
      <c r="E266" s="41" t="s">
        <v>29</v>
      </c>
      <c r="F266" s="41" t="s">
        <v>25</v>
      </c>
      <c r="G266" s="41" t="s">
        <v>25</v>
      </c>
      <c r="H266" s="41" t="s">
        <v>25</v>
      </c>
      <c r="I266" s="61">
        <v>44531</v>
      </c>
      <c r="J266" s="62">
        <f>EFEITO!$J$266*EFEITO!$Y$227</f>
        <v>0</v>
      </c>
      <c r="K266" s="62">
        <f ca="1">EFEITO!$L$266*EFEITO!$Z$314</f>
        <v>7607.9270050550886</v>
      </c>
      <c r="L266" s="62">
        <f>EFEITO!$N$266*EFEITO!$AA$314</f>
        <v>2129.6739790097386</v>
      </c>
      <c r="M266" s="62">
        <f>$J$266-EFEITO!$K$266*EFEITO!$Y$266</f>
        <v>0</v>
      </c>
      <c r="N266" s="62">
        <f ca="1">$K$266-EFEITO!$M$266*EFEITO!$Z$266</f>
        <v>4945.1525532858077</v>
      </c>
      <c r="O266" s="62">
        <f>$L$266-EFEITO!$O$266*EFEITO!$AA$266</f>
        <v>1384.28808635633</v>
      </c>
      <c r="P266" s="45"/>
      <c r="Q266" s="45"/>
      <c r="R266" s="45"/>
      <c r="S266" s="45"/>
      <c r="T266" s="45"/>
      <c r="U266" s="45"/>
      <c r="V266" s="45"/>
      <c r="W266" s="45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41" t="s">
        <v>21</v>
      </c>
      <c r="B267" s="41" t="s">
        <v>22</v>
      </c>
      <c r="C267" s="41" t="s">
        <v>23</v>
      </c>
      <c r="D267" s="41" t="s">
        <v>24</v>
      </c>
      <c r="E267" s="41" t="s">
        <v>29</v>
      </c>
      <c r="F267" s="41" t="s">
        <v>25</v>
      </c>
      <c r="G267" s="41" t="s">
        <v>25</v>
      </c>
      <c r="H267" s="41" t="s">
        <v>25</v>
      </c>
      <c r="I267" s="61">
        <v>44562</v>
      </c>
      <c r="J267" s="62">
        <f>EFEITO!$J$267*EFEITO!$Y$227</f>
        <v>0</v>
      </c>
      <c r="K267" s="62">
        <f ca="1">EFEITO!$L$267*EFEITO!$Z$314</f>
        <v>7584.4999780957196</v>
      </c>
      <c r="L267" s="62">
        <f>EFEITO!$N$267*EFEITO!$AA$314</f>
        <v>2123.1160914685229</v>
      </c>
      <c r="M267" s="62">
        <f>$J$267-EFEITO!$K$267*EFEITO!$Y$267</f>
        <v>0</v>
      </c>
      <c r="N267" s="62">
        <f ca="1">$K$267-EFEITO!$M$267*EFEITO!$Z$267</f>
        <v>4929.9249857622181</v>
      </c>
      <c r="O267" s="62">
        <f>$L$267-EFEITO!$O$267*EFEITO!$AA$267</f>
        <v>1380.0254594545399</v>
      </c>
      <c r="P267" s="45"/>
      <c r="Q267" s="45"/>
      <c r="R267" s="45"/>
      <c r="S267" s="45"/>
      <c r="T267" s="45"/>
      <c r="U267" s="45"/>
      <c r="V267" s="45"/>
      <c r="W267" s="45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41" t="s">
        <v>21</v>
      </c>
      <c r="B268" s="41" t="s">
        <v>22</v>
      </c>
      <c r="C268" s="41" t="s">
        <v>23</v>
      </c>
      <c r="D268" s="41" t="s">
        <v>24</v>
      </c>
      <c r="E268" s="41" t="s">
        <v>29</v>
      </c>
      <c r="F268" s="41" t="s">
        <v>25</v>
      </c>
      <c r="G268" s="41" t="s">
        <v>25</v>
      </c>
      <c r="H268" s="41" t="s">
        <v>25</v>
      </c>
      <c r="I268" s="61">
        <v>44593</v>
      </c>
      <c r="J268" s="62">
        <f>EFEITO!$J$268*EFEITO!$Y$227</f>
        <v>0</v>
      </c>
      <c r="K268" s="62">
        <f ca="1">EFEITO!$L$268*EFEITO!$Z$314</f>
        <v>7672.3513291933541</v>
      </c>
      <c r="L268" s="62">
        <f>EFEITO!$N$268*EFEITO!$AA$314</f>
        <v>2147.7081697480812</v>
      </c>
      <c r="M268" s="62">
        <f>$J$268-EFEITO!$K$268*EFEITO!$Y$268</f>
        <v>0</v>
      </c>
      <c r="N268" s="62">
        <f ca="1">$K$268-EFEITO!$M$268*EFEITO!$Z$268</f>
        <v>4987.0283639756799</v>
      </c>
      <c r="O268" s="62">
        <f>$L$268-EFEITO!$O$268*EFEITO!$AA$268</f>
        <v>1396.0103103362528</v>
      </c>
      <c r="P268" s="45"/>
      <c r="Q268" s="45"/>
      <c r="R268" s="45"/>
      <c r="S268" s="45"/>
      <c r="T268" s="45"/>
      <c r="U268" s="45"/>
      <c r="V268" s="45"/>
      <c r="W268" s="45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41" t="s">
        <v>21</v>
      </c>
      <c r="B269" s="41" t="s">
        <v>22</v>
      </c>
      <c r="C269" s="41" t="s">
        <v>23</v>
      </c>
      <c r="D269" s="41" t="s">
        <v>24</v>
      </c>
      <c r="E269" s="41" t="s">
        <v>29</v>
      </c>
      <c r="F269" s="41" t="s">
        <v>25</v>
      </c>
      <c r="G269" s="41" t="s">
        <v>25</v>
      </c>
      <c r="H269" s="41" t="s">
        <v>25</v>
      </c>
      <c r="I269" s="61">
        <v>44621</v>
      </c>
      <c r="J269" s="62">
        <f>EFEITO!$J$269*EFEITO!$Y$227</f>
        <v>0</v>
      </c>
      <c r="K269" s="62">
        <f ca="1">EFEITO!$L$269*EFEITO!$Z$314</f>
        <v>7906.6215987870437</v>
      </c>
      <c r="L269" s="62">
        <f>EFEITO!$N$269*EFEITO!$AA$314</f>
        <v>2213.2870451602362</v>
      </c>
      <c r="M269" s="62">
        <f>$J$269-EFEITO!$K$269*EFEITO!$Y$269</f>
        <v>0</v>
      </c>
      <c r="N269" s="62">
        <f ca="1">$K$269-EFEITO!$M$269*EFEITO!$Z$269</f>
        <v>5139.3040392115781</v>
      </c>
      <c r="O269" s="62">
        <f>$L$269-EFEITO!$O$269*EFEITO!$AA$269</f>
        <v>1438.6365793541536</v>
      </c>
      <c r="P269" s="45"/>
      <c r="Q269" s="45"/>
      <c r="R269" s="45"/>
      <c r="S269" s="45"/>
      <c r="T269" s="45"/>
      <c r="U269" s="45"/>
      <c r="V269" s="45"/>
      <c r="W269" s="45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41" t="s">
        <v>21</v>
      </c>
      <c r="B270" s="41" t="s">
        <v>22</v>
      </c>
      <c r="C270" s="41" t="s">
        <v>23</v>
      </c>
      <c r="D270" s="41" t="s">
        <v>24</v>
      </c>
      <c r="E270" s="41" t="s">
        <v>29</v>
      </c>
      <c r="F270" s="41" t="s">
        <v>25</v>
      </c>
      <c r="G270" s="41" t="s">
        <v>25</v>
      </c>
      <c r="H270" s="41" t="s">
        <v>25</v>
      </c>
      <c r="I270" s="61">
        <v>44652</v>
      </c>
      <c r="J270" s="62">
        <f>EFEITO!$J$270*EFEITO!$Y$227</f>
        <v>0</v>
      </c>
      <c r="K270" s="62">
        <f ca="1">EFEITO!$L$270*EFEITO!$Z$314</f>
        <v>8155.5337602303398</v>
      </c>
      <c r="L270" s="62">
        <f>EFEITO!$N$270*EFEITO!$AA$314</f>
        <v>2282.9646002856512</v>
      </c>
      <c r="M270" s="62">
        <f>$J$270-EFEITO!$K$270*EFEITO!$Y$270</f>
        <v>0</v>
      </c>
      <c r="N270" s="62">
        <f ca="1">$K$270-EFEITO!$M$270*EFEITO!$Z$270</f>
        <v>5301.0969441497209</v>
      </c>
      <c r="O270" s="62">
        <f>$L$270-EFEITO!$O$270*EFEITO!$AA$270</f>
        <v>1483.9269901856733</v>
      </c>
      <c r="P270" s="45"/>
      <c r="Q270" s="45"/>
      <c r="R270" s="45"/>
      <c r="S270" s="45"/>
      <c r="T270" s="45"/>
      <c r="U270" s="45"/>
      <c r="V270" s="45"/>
      <c r="W270" s="45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41" t="s">
        <v>21</v>
      </c>
      <c r="B271" s="41" t="s">
        <v>22</v>
      </c>
      <c r="C271" s="41" t="s">
        <v>23</v>
      </c>
      <c r="D271" s="41" t="s">
        <v>24</v>
      </c>
      <c r="E271" s="41" t="s">
        <v>29</v>
      </c>
      <c r="F271" s="41" t="s">
        <v>25</v>
      </c>
      <c r="G271" s="41" t="s">
        <v>25</v>
      </c>
      <c r="H271" s="41" t="s">
        <v>25</v>
      </c>
      <c r="I271" s="61">
        <v>44682</v>
      </c>
      <c r="J271" s="62">
        <f>EFEITO!$J$271*EFEITO!$Y$227</f>
        <v>0</v>
      </c>
      <c r="K271" s="62">
        <f ca="1">EFEITO!$L$271*EFEITO!$Z$314</f>
        <v>8902.2702445602263</v>
      </c>
      <c r="L271" s="62">
        <f>EFEITO!$N$271*EFEITO!$AA$314</f>
        <v>2491.9972656618957</v>
      </c>
      <c r="M271" s="62">
        <f>$J$271-EFEITO!$K$271*EFEITO!$Y$271</f>
        <v>0</v>
      </c>
      <c r="N271" s="62">
        <f ca="1">$K$271-EFEITO!$M$271*EFEITO!$Z$271</f>
        <v>5786.4756589641474</v>
      </c>
      <c r="O271" s="62">
        <f>$L$271-EFEITO!$O$271*EFEITO!$AA$271</f>
        <v>1619.7982226802324</v>
      </c>
      <c r="P271" s="45"/>
      <c r="Q271" s="45"/>
      <c r="R271" s="45"/>
      <c r="S271" s="45"/>
      <c r="T271" s="45"/>
      <c r="U271" s="45"/>
      <c r="V271" s="45"/>
      <c r="W271" s="45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41" t="s">
        <v>21</v>
      </c>
      <c r="B272" s="41" t="s">
        <v>22</v>
      </c>
      <c r="C272" s="41" t="s">
        <v>23</v>
      </c>
      <c r="D272" s="41" t="s">
        <v>24</v>
      </c>
      <c r="E272" s="41" t="s">
        <v>29</v>
      </c>
      <c r="F272" s="41" t="s">
        <v>25</v>
      </c>
      <c r="G272" s="41" t="s">
        <v>25</v>
      </c>
      <c r="H272" s="41" t="s">
        <v>25</v>
      </c>
      <c r="I272" s="61">
        <v>44713</v>
      </c>
      <c r="J272" s="62">
        <f>EFEITO!$J$272*EFEITO!$Y$227</f>
        <v>0</v>
      </c>
      <c r="K272" s="62">
        <f ca="1">EFEITO!$L$272*EFEITO!$Z$314</f>
        <v>7701.6351128925644</v>
      </c>
      <c r="L272" s="62">
        <f>EFEITO!$N$272*EFEITO!$AA$314</f>
        <v>2155.9055291746004</v>
      </c>
      <c r="M272" s="62">
        <f>$J$272-EFEITO!$K$272*EFEITO!$Y$272</f>
        <v>0</v>
      </c>
      <c r="N272" s="62">
        <f ca="1">$K$272-EFEITO!$M$272*EFEITO!$Z$272</f>
        <v>5006.0628233801672</v>
      </c>
      <c r="O272" s="62">
        <f>$L$272-EFEITO!$O$272*EFEITO!$AA$272</f>
        <v>1401.3385939634902</v>
      </c>
      <c r="P272" s="45"/>
      <c r="Q272" s="45"/>
      <c r="R272" s="45"/>
      <c r="S272" s="45"/>
      <c r="T272" s="45"/>
      <c r="U272" s="45"/>
      <c r="V272" s="45"/>
      <c r="W272" s="45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41" t="s">
        <v>27</v>
      </c>
      <c r="B273" s="41" t="s">
        <v>22</v>
      </c>
      <c r="C273" s="41" t="s">
        <v>23</v>
      </c>
      <c r="D273" s="41" t="s">
        <v>24</v>
      </c>
      <c r="E273" s="41" t="s">
        <v>29</v>
      </c>
      <c r="F273" s="41" t="s">
        <v>25</v>
      </c>
      <c r="G273" s="41" t="s">
        <v>25</v>
      </c>
      <c r="H273" s="41" t="s">
        <v>25</v>
      </c>
      <c r="I273" s="61">
        <v>44713</v>
      </c>
      <c r="J273" s="62">
        <f>EFEITO!$J$273*EFEITO!$Y$227</f>
        <v>0</v>
      </c>
      <c r="K273" s="62">
        <f ca="1">EFEITO!$L$273*EFEITO!$Z$314</f>
        <v>14.641891849605637</v>
      </c>
      <c r="L273" s="62">
        <f>EFEITO!$N$273*EFEITO!$AA$314</f>
        <v>4.0986797132596973</v>
      </c>
      <c r="M273" s="62">
        <f>$J$273-EFEITO!$K$273*EFEITO!$Y$273</f>
        <v>0</v>
      </c>
      <c r="N273" s="62">
        <f ca="1">$K$273-EFEITO!$M$273*EFEITO!$Z$273</f>
        <v>9.5172297022436645</v>
      </c>
      <c r="O273" s="62">
        <f>$L$273-EFEITO!$O$273*EFEITO!$AA$273</f>
        <v>2.6641418136188033</v>
      </c>
      <c r="P273" s="45"/>
      <c r="Q273" s="45"/>
      <c r="R273" s="45"/>
      <c r="S273" s="45"/>
      <c r="T273" s="45"/>
      <c r="U273" s="45"/>
      <c r="V273" s="45"/>
      <c r="W273" s="45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41" t="s">
        <v>21</v>
      </c>
      <c r="B274" s="41" t="s">
        <v>22</v>
      </c>
      <c r="C274" s="41" t="s">
        <v>23</v>
      </c>
      <c r="D274" s="41" t="s">
        <v>24</v>
      </c>
      <c r="E274" s="41" t="s">
        <v>29</v>
      </c>
      <c r="F274" s="41" t="s">
        <v>25</v>
      </c>
      <c r="G274" s="41" t="s">
        <v>25</v>
      </c>
      <c r="H274" s="41" t="s">
        <v>25</v>
      </c>
      <c r="I274" s="61">
        <v>44743</v>
      </c>
      <c r="J274" s="62">
        <f>EFEITO!$J$274*EFEITO!$Y$227</f>
        <v>0</v>
      </c>
      <c r="K274" s="62">
        <f ca="1">EFEITO!$L$274*EFEITO!$Z$314</f>
        <v>7804.1283558398045</v>
      </c>
      <c r="L274" s="62">
        <f>EFEITO!$N$274*EFEITO!$AA$314</f>
        <v>2184.5962871674187</v>
      </c>
      <c r="M274" s="62">
        <f>$J$274-EFEITO!$K$274*EFEITO!$Y$274</f>
        <v>0</v>
      </c>
      <c r="N274" s="62">
        <f ca="1">$K$274-EFEITO!$M$274*EFEITO!$Z$274</f>
        <v>5072.6834312958727</v>
      </c>
      <c r="O274" s="62">
        <f>$L$274-EFEITO!$O$274*EFEITO!$AA$274</f>
        <v>1419.9875866588222</v>
      </c>
      <c r="P274" s="45"/>
      <c r="Q274" s="45"/>
      <c r="R274" s="45"/>
      <c r="S274" s="45"/>
      <c r="T274" s="45"/>
      <c r="U274" s="45"/>
      <c r="V274" s="45"/>
      <c r="W274" s="45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41" t="s">
        <v>27</v>
      </c>
      <c r="B275" s="41" t="s">
        <v>22</v>
      </c>
      <c r="C275" s="41" t="s">
        <v>23</v>
      </c>
      <c r="D275" s="41" t="s">
        <v>24</v>
      </c>
      <c r="E275" s="41" t="s">
        <v>29</v>
      </c>
      <c r="F275" s="41" t="s">
        <v>25</v>
      </c>
      <c r="G275" s="41" t="s">
        <v>25</v>
      </c>
      <c r="H275" s="41" t="s">
        <v>25</v>
      </c>
      <c r="I275" s="61">
        <v>44743</v>
      </c>
      <c r="J275" s="62">
        <f>EFEITO!$J$275*EFEITO!$Y$227</f>
        <v>0</v>
      </c>
      <c r="K275" s="62">
        <f ca="1">EFEITO!$L$275*EFEITO!$Z$314</f>
        <v>29.283783699211273</v>
      </c>
      <c r="L275" s="62">
        <f>EFEITO!$N$275*EFEITO!$AA$314</f>
        <v>8.1973594265193945</v>
      </c>
      <c r="M275" s="62">
        <f>$J$275-EFEITO!$K$275*EFEITO!$Y$275</f>
        <v>0</v>
      </c>
      <c r="N275" s="62">
        <f ca="1">$K$275-EFEITO!$M$275*EFEITO!$Z$275</f>
        <v>19.034459404487329</v>
      </c>
      <c r="O275" s="62">
        <f>$L$275-EFEITO!$O$275*EFEITO!$AA$275</f>
        <v>5.3282836272376066</v>
      </c>
      <c r="P275" s="45"/>
      <c r="Q275" s="45"/>
      <c r="R275" s="45"/>
      <c r="S275" s="45"/>
      <c r="T275" s="45"/>
      <c r="U275" s="45"/>
      <c r="V275" s="45"/>
      <c r="W275" s="4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41" t="s">
        <v>55</v>
      </c>
      <c r="B276" s="41" t="s">
        <v>22</v>
      </c>
      <c r="C276" s="41" t="s">
        <v>23</v>
      </c>
      <c r="D276" s="41" t="s">
        <v>24</v>
      </c>
      <c r="E276" s="41" t="s">
        <v>29</v>
      </c>
      <c r="F276" s="41" t="s">
        <v>25</v>
      </c>
      <c r="G276" s="41" t="s">
        <v>25</v>
      </c>
      <c r="H276" s="41" t="s">
        <v>25</v>
      </c>
      <c r="I276" s="61">
        <v>44774</v>
      </c>
      <c r="J276" s="62">
        <f>EFEITO!$J$276*EFEITO!$Y$227</f>
        <v>0</v>
      </c>
      <c r="K276" s="62">
        <f ca="1">EFEITO!$L$276*EFEITO!$Z$314</f>
        <v>7804.1283558398045</v>
      </c>
      <c r="L276" s="62">
        <f>EFEITO!$N$276*EFEITO!$AA$314</f>
        <v>2184.5962871674187</v>
      </c>
      <c r="M276" s="62">
        <f>$J$276-EFEITO!$K$276*EFEITO!$Y$276</f>
        <v>0</v>
      </c>
      <c r="N276" s="62">
        <f ca="1">$K$276-EFEITO!$M$276*EFEITO!$Z$276</f>
        <v>5072.6834312958727</v>
      </c>
      <c r="O276" s="62">
        <f>$L$276-EFEITO!$O$276*EFEITO!$AA$276</f>
        <v>1419.9875866588222</v>
      </c>
      <c r="P276" s="45"/>
      <c r="Q276" s="45"/>
      <c r="R276" s="45"/>
      <c r="S276" s="45"/>
      <c r="T276" s="45"/>
      <c r="U276" s="45"/>
      <c r="V276" s="45"/>
      <c r="W276" s="45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41" t="s">
        <v>55</v>
      </c>
      <c r="B277" s="41" t="s">
        <v>22</v>
      </c>
      <c r="C277" s="41" t="s">
        <v>23</v>
      </c>
      <c r="D277" s="41" t="s">
        <v>24</v>
      </c>
      <c r="E277" s="41" t="s">
        <v>29</v>
      </c>
      <c r="F277" s="41" t="s">
        <v>25</v>
      </c>
      <c r="G277" s="41" t="s">
        <v>25</v>
      </c>
      <c r="H277" s="41" t="s">
        <v>25</v>
      </c>
      <c r="I277" s="61">
        <v>44774</v>
      </c>
      <c r="J277" s="62">
        <f>EFEITO!$J$277*EFEITO!$Y$227</f>
        <v>0</v>
      </c>
      <c r="K277" s="62">
        <f ca="1">EFEITO!$L$277*EFEITO!$Z$314</f>
        <v>29.283783699211273</v>
      </c>
      <c r="L277" s="62">
        <f>EFEITO!$N$277*EFEITO!$AA$314</f>
        <v>8.1973594265193945</v>
      </c>
      <c r="M277" s="62">
        <f>$J$277-EFEITO!$K$277*EFEITO!$Y$277</f>
        <v>0</v>
      </c>
      <c r="N277" s="62">
        <f ca="1">$K$277-EFEITO!$M$277*EFEITO!$Z$277</f>
        <v>19.034459404487329</v>
      </c>
      <c r="O277" s="62">
        <f>$L$277-EFEITO!$O$277*EFEITO!$AA$277</f>
        <v>5.3282836272376066</v>
      </c>
      <c r="P277" s="45"/>
      <c r="Q277" s="45"/>
      <c r="R277" s="45"/>
      <c r="S277" s="45"/>
      <c r="T277" s="45"/>
      <c r="U277" s="45"/>
      <c r="V277" s="45"/>
      <c r="W277" s="45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41" t="s">
        <v>21</v>
      </c>
      <c r="B278" s="41" t="s">
        <v>22</v>
      </c>
      <c r="C278" s="41" t="s">
        <v>23</v>
      </c>
      <c r="D278" s="41" t="s">
        <v>24</v>
      </c>
      <c r="E278" s="41" t="s">
        <v>30</v>
      </c>
      <c r="F278" s="41" t="s">
        <v>25</v>
      </c>
      <c r="G278" s="41" t="s">
        <v>25</v>
      </c>
      <c r="H278" s="41" t="s">
        <v>25</v>
      </c>
      <c r="I278" s="61">
        <v>44440</v>
      </c>
      <c r="J278" s="62">
        <f>EFEITO!$J$278*EFEITO!$Y$227</f>
        <v>0</v>
      </c>
      <c r="K278" s="62">
        <f ca="1">EFEITO!$L$278*EFEITO!$Z$314</f>
        <v>15895.237791931879</v>
      </c>
      <c r="L278" s="62">
        <f>EFEITO!$N$278*EFEITO!$AA$314</f>
        <v>4449.5266967147272</v>
      </c>
      <c r="M278" s="62">
        <f>$J$278-EFEITO!$K$278*EFEITO!$Y$278</f>
        <v>0</v>
      </c>
      <c r="N278" s="62">
        <f ca="1">$K$278-EFEITO!$M$278*EFEITO!$Z$278</f>
        <v>6358.0951167727526</v>
      </c>
      <c r="O278" s="62">
        <f>$L$278-EFEITO!$O$278*EFEITO!$AA$278</f>
        <v>1779.8106786858912</v>
      </c>
      <c r="P278" s="45"/>
      <c r="Q278" s="45"/>
      <c r="R278" s="45"/>
      <c r="S278" s="45"/>
      <c r="T278" s="45"/>
      <c r="U278" s="45"/>
      <c r="V278" s="45"/>
      <c r="W278" s="45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41" t="s">
        <v>21</v>
      </c>
      <c r="B279" s="41" t="s">
        <v>22</v>
      </c>
      <c r="C279" s="41" t="s">
        <v>23</v>
      </c>
      <c r="D279" s="41" t="s">
        <v>24</v>
      </c>
      <c r="E279" s="41" t="s">
        <v>30</v>
      </c>
      <c r="F279" s="41" t="s">
        <v>25</v>
      </c>
      <c r="G279" s="41" t="s">
        <v>25</v>
      </c>
      <c r="H279" s="41" t="s">
        <v>25</v>
      </c>
      <c r="I279" s="61">
        <v>44470</v>
      </c>
      <c r="J279" s="62">
        <f>EFEITO!$J$279*EFEITO!$Y$227</f>
        <v>0</v>
      </c>
      <c r="K279" s="62">
        <f ca="1">EFEITO!$L$279*EFEITO!$Z$314</f>
        <v>16338.887114974928</v>
      </c>
      <c r="L279" s="62">
        <f>EFEITO!$N$279*EFEITO!$AA$314</f>
        <v>4573.7166920264954</v>
      </c>
      <c r="M279" s="62">
        <f>$J$279-EFEITO!$K$279*EFEITO!$Y$279</f>
        <v>0</v>
      </c>
      <c r="N279" s="62">
        <f ca="1">$K$279-EFEITO!$M$279*EFEITO!$Z$279</f>
        <v>6535.554845989971</v>
      </c>
      <c r="O279" s="62">
        <f>$L$279-EFEITO!$O$279*EFEITO!$AA$279</f>
        <v>1829.4866768105981</v>
      </c>
      <c r="P279" s="45"/>
      <c r="Q279" s="45"/>
      <c r="R279" s="45"/>
      <c r="S279" s="45"/>
      <c r="T279" s="45"/>
      <c r="U279" s="45"/>
      <c r="V279" s="45"/>
      <c r="W279" s="45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41" t="s">
        <v>27</v>
      </c>
      <c r="B280" s="41" t="s">
        <v>22</v>
      </c>
      <c r="C280" s="41" t="s">
        <v>23</v>
      </c>
      <c r="D280" s="41" t="s">
        <v>24</v>
      </c>
      <c r="E280" s="41" t="s">
        <v>30</v>
      </c>
      <c r="F280" s="41" t="s">
        <v>25</v>
      </c>
      <c r="G280" s="41" t="s">
        <v>25</v>
      </c>
      <c r="H280" s="41" t="s">
        <v>25</v>
      </c>
      <c r="I280" s="61">
        <v>44470</v>
      </c>
      <c r="J280" s="62">
        <f>EFEITO!$J$280*EFEITO!$Y$227</f>
        <v>0</v>
      </c>
      <c r="K280" s="62">
        <f ca="1">EFEITO!$L$280*EFEITO!$Z$314</f>
        <v>34.164414315746491</v>
      </c>
      <c r="L280" s="62">
        <f>EFEITO!$N$280*EFEITO!$AA$314</f>
        <v>9.5635859976059603</v>
      </c>
      <c r="M280" s="62">
        <f>$J$280-EFEITO!$K$280*EFEITO!$Y$280</f>
        <v>0</v>
      </c>
      <c r="N280" s="62">
        <f ca="1">$K$280-EFEITO!$M$280*EFEITO!$Z$280</f>
        <v>13.665765726298599</v>
      </c>
      <c r="O280" s="62">
        <f>$L$280-EFEITO!$O$280*EFEITO!$AA$280</f>
        <v>3.8254343990423845</v>
      </c>
      <c r="P280" s="45"/>
      <c r="Q280" s="45"/>
      <c r="R280" s="45"/>
      <c r="S280" s="45"/>
      <c r="T280" s="45"/>
      <c r="U280" s="45"/>
      <c r="V280" s="45"/>
      <c r="W280" s="4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41" t="s">
        <v>21</v>
      </c>
      <c r="B281" s="41" t="s">
        <v>22</v>
      </c>
      <c r="C281" s="41" t="s">
        <v>23</v>
      </c>
      <c r="D281" s="41" t="s">
        <v>24</v>
      </c>
      <c r="E281" s="41" t="s">
        <v>30</v>
      </c>
      <c r="F281" s="41" t="s">
        <v>25</v>
      </c>
      <c r="G281" s="41" t="s">
        <v>25</v>
      </c>
      <c r="H281" s="41" t="s">
        <v>25</v>
      </c>
      <c r="I281" s="61">
        <v>44501</v>
      </c>
      <c r="J281" s="62">
        <f>EFEITO!$J$281*EFEITO!$Y$227</f>
        <v>0</v>
      </c>
      <c r="K281" s="62">
        <f ca="1">EFEITO!$L$281*EFEITO!$Z$314</f>
        <v>16629.77269972043</v>
      </c>
      <c r="L281" s="62">
        <f>EFEITO!$N$281*EFEITO!$AA$314</f>
        <v>4655.1437956632553</v>
      </c>
      <c r="M281" s="62">
        <f>$J$281-EFEITO!$K$281*EFEITO!$Y$281</f>
        <v>0</v>
      </c>
      <c r="N281" s="62">
        <f ca="1">$K$281-EFEITO!$M$281*EFEITO!$Z$281</f>
        <v>6651.9090798881734</v>
      </c>
      <c r="O281" s="62">
        <f>$L$281-EFEITO!$O$281*EFEITO!$AA$281</f>
        <v>1862.0575182653024</v>
      </c>
      <c r="P281" s="45"/>
      <c r="Q281" s="45"/>
      <c r="R281" s="45"/>
      <c r="S281" s="45"/>
      <c r="T281" s="45"/>
      <c r="U281" s="45"/>
      <c r="V281" s="45"/>
      <c r="W281" s="45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41" t="s">
        <v>21</v>
      </c>
      <c r="B282" s="41" t="s">
        <v>22</v>
      </c>
      <c r="C282" s="41" t="s">
        <v>23</v>
      </c>
      <c r="D282" s="41" t="s">
        <v>24</v>
      </c>
      <c r="E282" s="41" t="s">
        <v>30</v>
      </c>
      <c r="F282" s="41" t="s">
        <v>25</v>
      </c>
      <c r="G282" s="41" t="s">
        <v>25</v>
      </c>
      <c r="H282" s="41" t="s">
        <v>25</v>
      </c>
      <c r="I282" s="61">
        <v>44531</v>
      </c>
      <c r="J282" s="62">
        <f>EFEITO!$J$282*EFEITO!$Y$227</f>
        <v>0</v>
      </c>
      <c r="K282" s="62">
        <f ca="1">EFEITO!$L$282*EFEITO!$Z$314</f>
        <v>16924.562788959156</v>
      </c>
      <c r="L282" s="62">
        <f>EFEITO!$N$282*EFEITO!$AA$314</f>
        <v>4737.6638805568837</v>
      </c>
      <c r="M282" s="62">
        <f>$J$282-EFEITO!$K$282*EFEITO!$Y$282</f>
        <v>0</v>
      </c>
      <c r="N282" s="62">
        <f ca="1">$K$282-EFEITO!$M$282*EFEITO!$Z$282</f>
        <v>6769.8251155836624</v>
      </c>
      <c r="O282" s="62">
        <f>$L$282-EFEITO!$O$282*EFEITO!$AA$282</f>
        <v>1895.0655522227535</v>
      </c>
      <c r="P282" s="45"/>
      <c r="Q282" s="45"/>
      <c r="R282" s="45"/>
      <c r="S282" s="45"/>
      <c r="T282" s="45"/>
      <c r="U282" s="45"/>
      <c r="V282" s="45"/>
      <c r="W282" s="45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41" t="s">
        <v>21</v>
      </c>
      <c r="B283" s="41" t="s">
        <v>22</v>
      </c>
      <c r="C283" s="41" t="s">
        <v>23</v>
      </c>
      <c r="D283" s="41" t="s">
        <v>24</v>
      </c>
      <c r="E283" s="41" t="s">
        <v>30</v>
      </c>
      <c r="F283" s="41" t="s">
        <v>25</v>
      </c>
      <c r="G283" s="41" t="s">
        <v>25</v>
      </c>
      <c r="H283" s="41" t="s">
        <v>25</v>
      </c>
      <c r="I283" s="61">
        <v>44562</v>
      </c>
      <c r="J283" s="62">
        <f>EFEITO!$J$283*EFEITO!$Y$227</f>
        <v>0</v>
      </c>
      <c r="K283" s="62">
        <f ca="1">EFEITO!$L$283*EFEITO!$Z$314</f>
        <v>17096.849049722849</v>
      </c>
      <c r="L283" s="62">
        <f>EFEITO!$N$283*EFEITO!$AA$314</f>
        <v>4785.8916785162401</v>
      </c>
      <c r="M283" s="62">
        <f>$J$283-EFEITO!$K$283*EFEITO!$Y$283</f>
        <v>0</v>
      </c>
      <c r="N283" s="62">
        <f ca="1">$K$283-EFEITO!$M$283*EFEITO!$Z$283</f>
        <v>6838.7396198891402</v>
      </c>
      <c r="O283" s="62">
        <f>$L$283-EFEITO!$O$283*EFEITO!$AA$283</f>
        <v>1914.3566714064964</v>
      </c>
      <c r="P283" s="45"/>
      <c r="Q283" s="45"/>
      <c r="R283" s="45"/>
      <c r="S283" s="45"/>
      <c r="T283" s="45"/>
      <c r="U283" s="45"/>
      <c r="V283" s="45"/>
      <c r="W283" s="45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41" t="s">
        <v>21</v>
      </c>
      <c r="B284" s="41" t="s">
        <v>22</v>
      </c>
      <c r="C284" s="41" t="s">
        <v>23</v>
      </c>
      <c r="D284" s="41" t="s">
        <v>24</v>
      </c>
      <c r="E284" s="41" t="s">
        <v>30</v>
      </c>
      <c r="F284" s="41" t="s">
        <v>25</v>
      </c>
      <c r="G284" s="41" t="s">
        <v>25</v>
      </c>
      <c r="H284" s="41" t="s">
        <v>25</v>
      </c>
      <c r="I284" s="61">
        <v>44593</v>
      </c>
      <c r="J284" s="62">
        <f>EFEITO!$J$284*EFEITO!$Y$227</f>
        <v>0</v>
      </c>
      <c r="K284" s="62">
        <f ca="1">EFEITO!$L$284*EFEITO!$Z$314</f>
        <v>17267.671121301584</v>
      </c>
      <c r="L284" s="62">
        <f>EFEITO!$N$284*EFEITO!$AA$314</f>
        <v>4833.7096085042695</v>
      </c>
      <c r="M284" s="62">
        <f>$J$284-EFEITO!$K$284*EFEITO!$Y$284</f>
        <v>0</v>
      </c>
      <c r="N284" s="62">
        <f ca="1">$K$284-EFEITO!$M$284*EFEITO!$Z$284</f>
        <v>6907.0684485206348</v>
      </c>
      <c r="O284" s="62">
        <f>$L$284-EFEITO!$O$284*EFEITO!$AA$284</f>
        <v>1933.4838434017079</v>
      </c>
      <c r="P284" s="45"/>
      <c r="Q284" s="45"/>
      <c r="R284" s="45"/>
      <c r="S284" s="45"/>
      <c r="T284" s="45"/>
      <c r="U284" s="45"/>
      <c r="V284" s="45"/>
      <c r="W284" s="45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41" t="s">
        <v>21</v>
      </c>
      <c r="B285" s="41" t="s">
        <v>22</v>
      </c>
      <c r="C285" s="41" t="s">
        <v>23</v>
      </c>
      <c r="D285" s="41" t="s">
        <v>24</v>
      </c>
      <c r="E285" s="41" t="s">
        <v>30</v>
      </c>
      <c r="F285" s="41" t="s">
        <v>25</v>
      </c>
      <c r="G285" s="41" t="s">
        <v>25</v>
      </c>
      <c r="H285" s="41" t="s">
        <v>25</v>
      </c>
      <c r="I285" s="61">
        <v>44621</v>
      </c>
      <c r="J285" s="62">
        <f>EFEITO!$J$285*EFEITO!$Y$227</f>
        <v>0</v>
      </c>
      <c r="K285" s="62">
        <f ca="1">EFEITO!$L$285*EFEITO!$Z$314</f>
        <v>17740.116164982188</v>
      </c>
      <c r="L285" s="62">
        <f>EFEITO!$N$285*EFEITO!$AA$314</f>
        <v>4965.9603405854486</v>
      </c>
      <c r="M285" s="62">
        <f>$J$285-EFEITO!$K$285*EFEITO!$Y$285</f>
        <v>0</v>
      </c>
      <c r="N285" s="62">
        <f ca="1">$K$285-EFEITO!$M$285*EFEITO!$Z$285</f>
        <v>7096.0464659928748</v>
      </c>
      <c r="O285" s="62">
        <f>$L$285-EFEITO!$O$285*EFEITO!$AA$285</f>
        <v>1986.3841362341796</v>
      </c>
      <c r="P285" s="45"/>
      <c r="Q285" s="45"/>
      <c r="R285" s="45"/>
      <c r="S285" s="45"/>
      <c r="T285" s="45"/>
      <c r="U285" s="45"/>
      <c r="V285" s="45"/>
      <c r="W285" s="45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41" t="s">
        <v>27</v>
      </c>
      <c r="B286" s="41" t="s">
        <v>22</v>
      </c>
      <c r="C286" s="41" t="s">
        <v>23</v>
      </c>
      <c r="D286" s="41" t="s">
        <v>24</v>
      </c>
      <c r="E286" s="41" t="s">
        <v>30</v>
      </c>
      <c r="F286" s="41" t="s">
        <v>25</v>
      </c>
      <c r="G286" s="41" t="s">
        <v>25</v>
      </c>
      <c r="H286" s="41" t="s">
        <v>25</v>
      </c>
      <c r="I286" s="61">
        <v>44621</v>
      </c>
      <c r="J286" s="62">
        <f>EFEITO!$J$286*EFEITO!$Y$227</f>
        <v>0</v>
      </c>
      <c r="K286" s="62">
        <f ca="1">EFEITO!$L$286*EFEITO!$Z$314</f>
        <v>34.164414315746491</v>
      </c>
      <c r="L286" s="62">
        <f>EFEITO!$N$286*EFEITO!$AA$314</f>
        <v>9.5635859976059603</v>
      </c>
      <c r="M286" s="62">
        <f>$J$286-EFEITO!$K$286*EFEITO!$Y$286</f>
        <v>0</v>
      </c>
      <c r="N286" s="62">
        <f ca="1">$K$286-EFEITO!$M$286*EFEITO!$Z$286</f>
        <v>13.665765726298599</v>
      </c>
      <c r="O286" s="62">
        <f>$L$286-EFEITO!$O$286*EFEITO!$AA$286</f>
        <v>3.8254343990423845</v>
      </c>
      <c r="P286" s="45"/>
      <c r="Q286" s="45"/>
      <c r="R286" s="45"/>
      <c r="S286" s="45"/>
      <c r="T286" s="45"/>
      <c r="U286" s="45"/>
      <c r="V286" s="45"/>
      <c r="W286" s="45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41" t="s">
        <v>21</v>
      </c>
      <c r="B287" s="41" t="s">
        <v>22</v>
      </c>
      <c r="C287" s="41" t="s">
        <v>23</v>
      </c>
      <c r="D287" s="41" t="s">
        <v>24</v>
      </c>
      <c r="E287" s="41" t="s">
        <v>30</v>
      </c>
      <c r="F287" s="41" t="s">
        <v>25</v>
      </c>
      <c r="G287" s="41" t="s">
        <v>25</v>
      </c>
      <c r="H287" s="41" t="s">
        <v>25</v>
      </c>
      <c r="I287" s="61">
        <v>44652</v>
      </c>
      <c r="J287" s="62">
        <f>EFEITO!$J$287*EFEITO!$Y$227</f>
        <v>0</v>
      </c>
      <c r="K287" s="62">
        <f ca="1">EFEITO!$L$287*EFEITO!$Z$314</f>
        <v>18205.72832579965</v>
      </c>
      <c r="L287" s="62">
        <f>EFEITO!$N$287*EFEITO!$AA$314</f>
        <v>5096.2983554671073</v>
      </c>
      <c r="M287" s="62">
        <f>$J$287-EFEITO!$K$287*EFEITO!$Y$287</f>
        <v>0</v>
      </c>
      <c r="N287" s="62">
        <f ca="1">$K$287-EFEITO!$M$287*EFEITO!$Z$287</f>
        <v>7282.2913303198602</v>
      </c>
      <c r="O287" s="62">
        <f>$L$287-EFEITO!$O$287*EFEITO!$AA$287</f>
        <v>2038.519342186843</v>
      </c>
      <c r="P287" s="45"/>
      <c r="Q287" s="45"/>
      <c r="R287" s="45"/>
      <c r="S287" s="45"/>
      <c r="T287" s="45"/>
      <c r="U287" s="45"/>
      <c r="V287" s="45"/>
      <c r="W287" s="4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41" t="s">
        <v>21</v>
      </c>
      <c r="B288" s="41" t="s">
        <v>22</v>
      </c>
      <c r="C288" s="41" t="s">
        <v>23</v>
      </c>
      <c r="D288" s="41" t="s">
        <v>24</v>
      </c>
      <c r="E288" s="41" t="s">
        <v>30</v>
      </c>
      <c r="F288" s="41" t="s">
        <v>25</v>
      </c>
      <c r="G288" s="41" t="s">
        <v>25</v>
      </c>
      <c r="H288" s="41" t="s">
        <v>25</v>
      </c>
      <c r="I288" s="61">
        <v>44682</v>
      </c>
      <c r="J288" s="62">
        <f>EFEITO!$J$288*EFEITO!$Y$227</f>
        <v>0</v>
      </c>
      <c r="K288" s="62">
        <f ca="1">EFEITO!$L$288*EFEITO!$Z$314</f>
        <v>19017.377197329457</v>
      </c>
      <c r="L288" s="62">
        <f>EFEITO!$N$288*EFEITO!$AA$314</f>
        <v>5323.5018342388039</v>
      </c>
      <c r="M288" s="62">
        <f>$J$288-EFEITO!$K$288*EFEITO!$Y$288</f>
        <v>0</v>
      </c>
      <c r="N288" s="62">
        <f ca="1">$K$288-EFEITO!$M$288*EFEITO!$Z$288</f>
        <v>7606.9508789317842</v>
      </c>
      <c r="O288" s="62">
        <f>$L$288-EFEITO!$O$288*EFEITO!$AA$288</f>
        <v>2129.4007336955219</v>
      </c>
      <c r="P288" s="45"/>
      <c r="Q288" s="45"/>
      <c r="R288" s="45"/>
      <c r="S288" s="45"/>
      <c r="T288" s="45"/>
      <c r="U288" s="45"/>
      <c r="V288" s="45"/>
      <c r="W288" s="4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41" t="s">
        <v>21</v>
      </c>
      <c r="B289" s="41" t="s">
        <v>22</v>
      </c>
      <c r="C289" s="41" t="s">
        <v>23</v>
      </c>
      <c r="D289" s="41" t="s">
        <v>24</v>
      </c>
      <c r="E289" s="41" t="s">
        <v>30</v>
      </c>
      <c r="F289" s="41" t="s">
        <v>25</v>
      </c>
      <c r="G289" s="41" t="s">
        <v>25</v>
      </c>
      <c r="H289" s="41" t="s">
        <v>25</v>
      </c>
      <c r="I289" s="61">
        <v>44713</v>
      </c>
      <c r="J289" s="62">
        <f>EFEITO!$J$289*EFEITO!$Y$227</f>
        <v>0</v>
      </c>
      <c r="K289" s="62">
        <f ca="1">EFEITO!$L$289*EFEITO!$Z$314</f>
        <v>16557.539366595705</v>
      </c>
      <c r="L289" s="62">
        <f>EFEITO!$N$289*EFEITO!$AA$314</f>
        <v>4634.9236424111741</v>
      </c>
      <c r="M289" s="62">
        <f>$J$289-EFEITO!$K$289*EFEITO!$Y$289</f>
        <v>0</v>
      </c>
      <c r="N289" s="62">
        <f ca="1">$K$289-EFEITO!$M$289*EFEITO!$Z$289</f>
        <v>6623.0157466382825</v>
      </c>
      <c r="O289" s="62">
        <f>$L$289-EFEITO!$O$289*EFEITO!$AA$289</f>
        <v>1853.9694569644698</v>
      </c>
      <c r="P289" s="45"/>
      <c r="Q289" s="45"/>
      <c r="R289" s="45"/>
      <c r="S289" s="45"/>
      <c r="T289" s="45"/>
      <c r="U289" s="45"/>
      <c r="V289" s="45"/>
      <c r="W289" s="4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41" t="s">
        <v>27</v>
      </c>
      <c r="B290" s="41" t="s">
        <v>22</v>
      </c>
      <c r="C290" s="41" t="s">
        <v>23</v>
      </c>
      <c r="D290" s="41" t="s">
        <v>24</v>
      </c>
      <c r="E290" s="41" t="s">
        <v>30</v>
      </c>
      <c r="F290" s="41" t="s">
        <v>25</v>
      </c>
      <c r="G290" s="41" t="s">
        <v>25</v>
      </c>
      <c r="H290" s="41" t="s">
        <v>25</v>
      </c>
      <c r="I290" s="61">
        <v>44713</v>
      </c>
      <c r="J290" s="62">
        <f>EFEITO!$J$290*EFEITO!$Y$227</f>
        <v>0</v>
      </c>
      <c r="K290" s="62">
        <f ca="1">EFEITO!$L$290*EFEITO!$Z$314</f>
        <v>9.7612612330704245</v>
      </c>
      <c r="L290" s="62">
        <f>EFEITO!$N$290*EFEITO!$AA$314</f>
        <v>2.7324531421731315</v>
      </c>
      <c r="M290" s="62">
        <f>$J$290-EFEITO!$K$290*EFEITO!$Y$290</f>
        <v>0</v>
      </c>
      <c r="N290" s="62">
        <f ca="1">$K$290-EFEITO!$M$290*EFEITO!$Z$290</f>
        <v>3.9045044932281696</v>
      </c>
      <c r="O290" s="62">
        <f>$L$290-EFEITO!$O$290*EFEITO!$AA$290</f>
        <v>1.0929812568692527</v>
      </c>
      <c r="P290" s="45"/>
      <c r="Q290" s="45"/>
      <c r="R290" s="45"/>
      <c r="S290" s="45"/>
      <c r="T290" s="45"/>
      <c r="U290" s="45"/>
      <c r="V290" s="45"/>
      <c r="W290" s="4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41" t="s">
        <v>21</v>
      </c>
      <c r="B291" s="41" t="s">
        <v>22</v>
      </c>
      <c r="C291" s="41" t="s">
        <v>23</v>
      </c>
      <c r="D291" s="41" t="s">
        <v>24</v>
      </c>
      <c r="E291" s="41" t="s">
        <v>30</v>
      </c>
      <c r="F291" s="41" t="s">
        <v>25</v>
      </c>
      <c r="G291" s="41" t="s">
        <v>25</v>
      </c>
      <c r="H291" s="41" t="s">
        <v>25</v>
      </c>
      <c r="I291" s="61">
        <v>44743</v>
      </c>
      <c r="J291" s="62">
        <f>EFEITO!$J$291*EFEITO!$Y$227</f>
        <v>0</v>
      </c>
      <c r="K291" s="62">
        <f ca="1">EFEITO!$L$291*EFEITO!$Z$314</f>
        <v>16987.034860850807</v>
      </c>
      <c r="L291" s="62">
        <f>EFEITO!$N$291*EFEITO!$AA$314</f>
        <v>4755.1515806667921</v>
      </c>
      <c r="M291" s="62">
        <f>$J$291-EFEITO!$K$291*EFEITO!$Y$291</f>
        <v>0</v>
      </c>
      <c r="N291" s="62">
        <f ca="1">$K$291-EFEITO!$M$291*EFEITO!$Z$291</f>
        <v>6794.8139443403234</v>
      </c>
      <c r="O291" s="62">
        <f>$L$291-EFEITO!$O$291*EFEITO!$AA$291</f>
        <v>1902.0606322667172</v>
      </c>
      <c r="P291" s="45"/>
      <c r="Q291" s="45"/>
      <c r="R291" s="45"/>
      <c r="S291" s="45"/>
      <c r="T291" s="45"/>
      <c r="U291" s="45"/>
      <c r="V291" s="45"/>
      <c r="W291" s="4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41" t="s">
        <v>27</v>
      </c>
      <c r="B292" s="41" t="s">
        <v>22</v>
      </c>
      <c r="C292" s="41" t="s">
        <v>23</v>
      </c>
      <c r="D292" s="41" t="s">
        <v>24</v>
      </c>
      <c r="E292" s="41" t="s">
        <v>30</v>
      </c>
      <c r="F292" s="41" t="s">
        <v>25</v>
      </c>
      <c r="G292" s="41" t="s">
        <v>25</v>
      </c>
      <c r="H292" s="41" t="s">
        <v>25</v>
      </c>
      <c r="I292" s="61">
        <v>44743</v>
      </c>
      <c r="J292" s="62">
        <f>EFEITO!$J$292*EFEITO!$Y$227</f>
        <v>0</v>
      </c>
      <c r="K292" s="62">
        <f ca="1">EFEITO!$L$292*EFEITO!$Z$314</f>
        <v>68.328828631492982</v>
      </c>
      <c r="L292" s="62">
        <f>EFEITO!$N$292*EFEITO!$AA$314</f>
        <v>19.127171995211921</v>
      </c>
      <c r="M292" s="62">
        <f>$J$292-EFEITO!$K$292*EFEITO!$Y$292</f>
        <v>0</v>
      </c>
      <c r="N292" s="62">
        <f ca="1">$K$292-EFEITO!$M$292*EFEITO!$Z$292</f>
        <v>27.331531452597197</v>
      </c>
      <c r="O292" s="62">
        <f>$L$292-EFEITO!$O$292*EFEITO!$AA$292</f>
        <v>7.6508687980847689</v>
      </c>
      <c r="P292" s="45"/>
      <c r="Q292" s="45"/>
      <c r="R292" s="45"/>
      <c r="S292" s="45"/>
      <c r="T292" s="45"/>
      <c r="U292" s="45"/>
      <c r="V292" s="45"/>
      <c r="W292" s="45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41" t="s">
        <v>55</v>
      </c>
      <c r="B293" s="41" t="s">
        <v>22</v>
      </c>
      <c r="C293" s="41" t="s">
        <v>23</v>
      </c>
      <c r="D293" s="41" t="s">
        <v>24</v>
      </c>
      <c r="E293" s="41" t="s">
        <v>30</v>
      </c>
      <c r="F293" s="41" t="s">
        <v>25</v>
      </c>
      <c r="G293" s="41" t="s">
        <v>25</v>
      </c>
      <c r="H293" s="41" t="s">
        <v>25</v>
      </c>
      <c r="I293" s="61">
        <v>44774</v>
      </c>
      <c r="J293" s="62">
        <f>EFEITO!$J$293*EFEITO!$Y$227</f>
        <v>0</v>
      </c>
      <c r="K293" s="62">
        <f ca="1">EFEITO!$L$293*EFEITO!$Z$314</f>
        <v>16987.034860850807</v>
      </c>
      <c r="L293" s="62">
        <f>EFEITO!$N$293*EFEITO!$AA$314</f>
        <v>4755.1515806667921</v>
      </c>
      <c r="M293" s="62">
        <f>$J$293-EFEITO!$K$293*EFEITO!$Y$293</f>
        <v>0</v>
      </c>
      <c r="N293" s="62">
        <f ca="1">$K$293-EFEITO!$M$293*EFEITO!$Z$293</f>
        <v>6794.8139443403234</v>
      </c>
      <c r="O293" s="62">
        <f>$L$293-EFEITO!$O$293*EFEITO!$AA$293</f>
        <v>1902.0606322667172</v>
      </c>
      <c r="P293" s="45"/>
      <c r="Q293" s="45"/>
      <c r="R293" s="45"/>
      <c r="S293" s="45"/>
      <c r="T293" s="45"/>
      <c r="U293" s="45"/>
      <c r="V293" s="45"/>
      <c r="W293" s="45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41" t="s">
        <v>55</v>
      </c>
      <c r="B294" s="41" t="s">
        <v>22</v>
      </c>
      <c r="C294" s="41" t="s">
        <v>23</v>
      </c>
      <c r="D294" s="41" t="s">
        <v>24</v>
      </c>
      <c r="E294" s="41" t="s">
        <v>30</v>
      </c>
      <c r="F294" s="41" t="s">
        <v>25</v>
      </c>
      <c r="G294" s="41" t="s">
        <v>25</v>
      </c>
      <c r="H294" s="41" t="s">
        <v>25</v>
      </c>
      <c r="I294" s="61">
        <v>44774</v>
      </c>
      <c r="J294" s="62">
        <f>EFEITO!$J$294*EFEITO!$Y$227</f>
        <v>0</v>
      </c>
      <c r="K294" s="62">
        <f ca="1">EFEITO!$L$294*EFEITO!$Z$314</f>
        <v>68.328828631492982</v>
      </c>
      <c r="L294" s="62">
        <f>EFEITO!$N$294*EFEITO!$AA$314</f>
        <v>19.127171995211921</v>
      </c>
      <c r="M294" s="62">
        <f>$J$294-EFEITO!$K$294*EFEITO!$Y$294</f>
        <v>0</v>
      </c>
      <c r="N294" s="62">
        <f ca="1">$K$294-EFEITO!$M$294*EFEITO!$Z$294</f>
        <v>27.331531452597197</v>
      </c>
      <c r="O294" s="62">
        <f>$L$294-EFEITO!$O$294*EFEITO!$AA$294</f>
        <v>7.6508687980847689</v>
      </c>
      <c r="P294" s="45"/>
      <c r="Q294" s="45"/>
      <c r="R294" s="45"/>
      <c r="S294" s="45"/>
      <c r="T294" s="45"/>
      <c r="U294" s="45"/>
      <c r="V294" s="45"/>
      <c r="W294" s="45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41" t="s">
        <v>21</v>
      </c>
      <c r="B295" s="41" t="s">
        <v>22</v>
      </c>
      <c r="C295" s="41" t="s">
        <v>23</v>
      </c>
      <c r="D295" s="41" t="s">
        <v>24</v>
      </c>
      <c r="E295" s="41" t="s">
        <v>31</v>
      </c>
      <c r="F295" s="41" t="s">
        <v>25</v>
      </c>
      <c r="G295" s="41" t="s">
        <v>25</v>
      </c>
      <c r="H295" s="41" t="s">
        <v>25</v>
      </c>
      <c r="I295" s="61">
        <v>44440</v>
      </c>
      <c r="J295" s="62">
        <f>EFEITO!$J$295*EFEITO!$Y$227</f>
        <v>0</v>
      </c>
      <c r="K295" s="62">
        <f ca="1">EFEITO!$L$295*EFEITO!$Z$314</f>
        <v>18147.648821462881</v>
      </c>
      <c r="L295" s="62">
        <f>EFEITO!$N$295*EFEITO!$AA$314</f>
        <v>5080.0402592711771</v>
      </c>
      <c r="M295" s="62">
        <f>$J$295-EFEITO!$K$295*EFEITO!$Y$295</f>
        <v>0</v>
      </c>
      <c r="N295" s="62">
        <f ca="1">$K$295-EFEITO!$M$295*EFEITO!$Z$295</f>
        <v>1814.7648821462881</v>
      </c>
      <c r="O295" s="62">
        <f>$L$295-EFEITO!$O$295*EFEITO!$AA$295</f>
        <v>508.00402592711725</v>
      </c>
      <c r="P295" s="45"/>
      <c r="Q295" s="45"/>
      <c r="R295" s="45"/>
      <c r="S295" s="45"/>
      <c r="T295" s="45"/>
      <c r="U295" s="45"/>
      <c r="V295" s="45"/>
      <c r="W295" s="45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41" t="s">
        <v>21</v>
      </c>
      <c r="B296" s="41" t="s">
        <v>22</v>
      </c>
      <c r="C296" s="41" t="s">
        <v>23</v>
      </c>
      <c r="D296" s="41" t="s">
        <v>24</v>
      </c>
      <c r="E296" s="41" t="s">
        <v>31</v>
      </c>
      <c r="F296" s="41" t="s">
        <v>25</v>
      </c>
      <c r="G296" s="41" t="s">
        <v>25</v>
      </c>
      <c r="H296" s="41" t="s">
        <v>25</v>
      </c>
      <c r="I296" s="61">
        <v>44470</v>
      </c>
      <c r="J296" s="62">
        <f>EFEITO!$J$296*EFEITO!$Y$227</f>
        <v>0</v>
      </c>
      <c r="K296" s="62">
        <f ca="1">EFEITO!$L$296*EFEITO!$Z$314</f>
        <v>17876.773822245177</v>
      </c>
      <c r="L296" s="62">
        <f>EFEITO!$N$296*EFEITO!$AA$314</f>
        <v>5004.2146845758725</v>
      </c>
      <c r="M296" s="62">
        <f>$J$296-EFEITO!$K$296*EFEITO!$Y$296</f>
        <v>0</v>
      </c>
      <c r="N296" s="62">
        <f ca="1">$K$296-EFEITO!$M$296*EFEITO!$Z$296</f>
        <v>1787.6773822245177</v>
      </c>
      <c r="O296" s="62">
        <f>$L$296-EFEITO!$O$296*EFEITO!$AA$296</f>
        <v>500.42146845758725</v>
      </c>
      <c r="P296" s="45"/>
      <c r="Q296" s="45"/>
      <c r="R296" s="45"/>
      <c r="S296" s="45"/>
      <c r="T296" s="45"/>
      <c r="U296" s="45"/>
      <c r="V296" s="45"/>
      <c r="W296" s="45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41" t="s">
        <v>27</v>
      </c>
      <c r="B297" s="41" t="s">
        <v>22</v>
      </c>
      <c r="C297" s="41" t="s">
        <v>23</v>
      </c>
      <c r="D297" s="41" t="s">
        <v>24</v>
      </c>
      <c r="E297" s="41" t="s">
        <v>31</v>
      </c>
      <c r="F297" s="41" t="s">
        <v>25</v>
      </c>
      <c r="G297" s="41" t="s">
        <v>25</v>
      </c>
      <c r="H297" s="41" t="s">
        <v>25</v>
      </c>
      <c r="I297" s="61">
        <v>44470</v>
      </c>
      <c r="J297" s="62">
        <f>EFEITO!$J$297*EFEITO!$Y$227</f>
        <v>0</v>
      </c>
      <c r="K297" s="62">
        <f ca="1">EFEITO!$L$297*EFEITO!$Z$314</f>
        <v>49.782432288659166</v>
      </c>
      <c r="L297" s="62">
        <f>EFEITO!$N$297*EFEITO!$AA$314</f>
        <v>13.935511025082969</v>
      </c>
      <c r="M297" s="62">
        <f>$J$297-EFEITO!$K$297*EFEITO!$Y$297</f>
        <v>0</v>
      </c>
      <c r="N297" s="62">
        <f ca="1">$K$297-EFEITO!$M$297*EFEITO!$Z$297</f>
        <v>4.9782432288659209</v>
      </c>
      <c r="O297" s="62">
        <f>$L$297-EFEITO!$O$297*EFEITO!$AA$297</f>
        <v>1.3935511025082956</v>
      </c>
      <c r="P297" s="45"/>
      <c r="Q297" s="45"/>
      <c r="R297" s="45"/>
      <c r="S297" s="45"/>
      <c r="T297" s="45"/>
      <c r="U297" s="45"/>
      <c r="V297" s="45"/>
      <c r="W297" s="45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41" t="s">
        <v>21</v>
      </c>
      <c r="B298" s="41" t="s">
        <v>22</v>
      </c>
      <c r="C298" s="41" t="s">
        <v>23</v>
      </c>
      <c r="D298" s="41" t="s">
        <v>24</v>
      </c>
      <c r="E298" s="41" t="s">
        <v>31</v>
      </c>
      <c r="F298" s="41" t="s">
        <v>25</v>
      </c>
      <c r="G298" s="41" t="s">
        <v>25</v>
      </c>
      <c r="H298" s="41" t="s">
        <v>25</v>
      </c>
      <c r="I298" s="61">
        <v>44501</v>
      </c>
      <c r="J298" s="62">
        <f>EFEITO!$J$298*EFEITO!$Y$227</f>
        <v>0</v>
      </c>
      <c r="K298" s="62">
        <f ca="1">EFEITO!$L$298*EFEITO!$Z$314</f>
        <v>18739.6693152486</v>
      </c>
      <c r="L298" s="62">
        <f>EFEITO!$N$298*EFEITO!$AA$314</f>
        <v>5245.7635423439779</v>
      </c>
      <c r="M298" s="62">
        <f>$J$298-EFEITO!$K$298*EFEITO!$Y$298</f>
        <v>0</v>
      </c>
      <c r="N298" s="62">
        <f ca="1">$K$298-EFEITO!$M$298*EFEITO!$Z$298</f>
        <v>1873.9669315248575</v>
      </c>
      <c r="O298" s="62">
        <f>$L$298-EFEITO!$O$298*EFEITO!$AA$298</f>
        <v>524.57635423439751</v>
      </c>
      <c r="P298" s="45"/>
      <c r="Q298" s="45"/>
      <c r="R298" s="45"/>
      <c r="S298" s="45"/>
      <c r="T298" s="45"/>
      <c r="U298" s="45"/>
      <c r="V298" s="45"/>
      <c r="W298" s="45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41" t="s">
        <v>27</v>
      </c>
      <c r="B299" s="41" t="s">
        <v>22</v>
      </c>
      <c r="C299" s="41" t="s">
        <v>23</v>
      </c>
      <c r="D299" s="41" t="s">
        <v>24</v>
      </c>
      <c r="E299" s="41" t="s">
        <v>31</v>
      </c>
      <c r="F299" s="41" t="s">
        <v>25</v>
      </c>
      <c r="G299" s="41" t="s">
        <v>25</v>
      </c>
      <c r="H299" s="41" t="s">
        <v>25</v>
      </c>
      <c r="I299" s="61">
        <v>44501</v>
      </c>
      <c r="J299" s="62">
        <f>EFEITO!$J$299*EFEITO!$Y$227</f>
        <v>0</v>
      </c>
      <c r="K299" s="62">
        <f ca="1">EFEITO!$L$299*EFEITO!$Z$314</f>
        <v>-58.567567398422547</v>
      </c>
      <c r="L299" s="62">
        <f>EFEITO!$N$299*EFEITO!$AA$314</f>
        <v>-16.394718853038789</v>
      </c>
      <c r="M299" s="62">
        <f>$J$299-EFEITO!$K$299*EFEITO!$Y$299</f>
        <v>0</v>
      </c>
      <c r="N299" s="62">
        <f ca="1">$K$299-EFEITO!$M$299*EFEITO!$Z$299</f>
        <v>-5.856756739842254</v>
      </c>
      <c r="O299" s="62">
        <f>$L$299-EFEITO!$O$299*EFEITO!$AA$299</f>
        <v>-1.6394718853038803</v>
      </c>
      <c r="P299" s="45"/>
      <c r="Q299" s="45"/>
      <c r="R299" s="45"/>
      <c r="S299" s="45"/>
      <c r="T299" s="45"/>
      <c r="U299" s="45"/>
      <c r="V299" s="45"/>
      <c r="W299" s="45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41" t="s">
        <v>21</v>
      </c>
      <c r="B300" s="41" t="s">
        <v>22</v>
      </c>
      <c r="C300" s="41" t="s">
        <v>23</v>
      </c>
      <c r="D300" s="41" t="s">
        <v>24</v>
      </c>
      <c r="E300" s="41" t="s">
        <v>31</v>
      </c>
      <c r="F300" s="41" t="s">
        <v>25</v>
      </c>
      <c r="G300" s="41" t="s">
        <v>25</v>
      </c>
      <c r="H300" s="41" t="s">
        <v>25</v>
      </c>
      <c r="I300" s="61">
        <v>44531</v>
      </c>
      <c r="J300" s="62">
        <f>EFEITO!$J$300*EFEITO!$Y$227</f>
        <v>0</v>
      </c>
      <c r="K300" s="62">
        <f ca="1">EFEITO!$L$300*EFEITO!$Z$314</f>
        <v>19840.251519277292</v>
      </c>
      <c r="L300" s="62">
        <f>EFEITO!$N$300*EFEITO!$AA$314</f>
        <v>5553.8476341239984</v>
      </c>
      <c r="M300" s="62">
        <f>$J$300-EFEITO!$K$300*EFEITO!$Y$300</f>
        <v>0</v>
      </c>
      <c r="N300" s="62">
        <f ca="1">$K$300-EFEITO!$M$300*EFEITO!$Z$300</f>
        <v>1984.0251519277263</v>
      </c>
      <c r="O300" s="62">
        <f>$L$300-EFEITO!$O$300*EFEITO!$AA$300</f>
        <v>555.38476341239948</v>
      </c>
      <c r="P300" s="45"/>
      <c r="Q300" s="45"/>
      <c r="R300" s="45"/>
      <c r="S300" s="45"/>
      <c r="T300" s="45"/>
      <c r="U300" s="45"/>
      <c r="V300" s="45"/>
      <c r="W300" s="45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41" t="s">
        <v>27</v>
      </c>
      <c r="B301" s="41" t="s">
        <v>22</v>
      </c>
      <c r="C301" s="41" t="s">
        <v>23</v>
      </c>
      <c r="D301" s="41" t="s">
        <v>24</v>
      </c>
      <c r="E301" s="41" t="s">
        <v>31</v>
      </c>
      <c r="F301" s="41" t="s">
        <v>25</v>
      </c>
      <c r="G301" s="41" t="s">
        <v>25</v>
      </c>
      <c r="H301" s="41" t="s">
        <v>25</v>
      </c>
      <c r="I301" s="61">
        <v>44531</v>
      </c>
      <c r="J301" s="62">
        <f>EFEITO!$J$301*EFEITO!$Y$227</f>
        <v>0</v>
      </c>
      <c r="K301" s="62">
        <f ca="1">EFEITO!$L$301*EFEITO!$Z$314</f>
        <v>-58.567567398422547</v>
      </c>
      <c r="L301" s="62">
        <f>EFEITO!$N$301*EFEITO!$AA$314</f>
        <v>-16.394718853038789</v>
      </c>
      <c r="M301" s="62">
        <f>$J$301-EFEITO!$K$301*EFEITO!$Y$301</f>
        <v>0</v>
      </c>
      <c r="N301" s="62">
        <f ca="1">$K$301-EFEITO!$M$301*EFEITO!$Z$301</f>
        <v>-5.856756739842254</v>
      </c>
      <c r="O301" s="62">
        <f>$L$301-EFEITO!$O$301*EFEITO!$AA$301</f>
        <v>-1.6394718853038803</v>
      </c>
      <c r="P301" s="45"/>
      <c r="Q301" s="45"/>
      <c r="R301" s="45"/>
      <c r="S301" s="45"/>
      <c r="T301" s="45"/>
      <c r="U301" s="45"/>
      <c r="V301" s="45"/>
      <c r="W301" s="45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41" t="s">
        <v>21</v>
      </c>
      <c r="B302" s="41" t="s">
        <v>22</v>
      </c>
      <c r="C302" s="41" t="s">
        <v>23</v>
      </c>
      <c r="D302" s="41" t="s">
        <v>24</v>
      </c>
      <c r="E302" s="41" t="s">
        <v>31</v>
      </c>
      <c r="F302" s="41" t="s">
        <v>25</v>
      </c>
      <c r="G302" s="41" t="s">
        <v>25</v>
      </c>
      <c r="H302" s="41" t="s">
        <v>25</v>
      </c>
      <c r="I302" s="61">
        <v>44562</v>
      </c>
      <c r="J302" s="62">
        <f>EFEITO!$J$302*EFEITO!$Y$227</f>
        <v>0</v>
      </c>
      <c r="K302" s="62">
        <f ca="1">EFEITO!$L$302*EFEITO!$Z$314</f>
        <v>22495.802637734101</v>
      </c>
      <c r="L302" s="62">
        <f>EFEITO!$N$302*EFEITO!$AA$314</f>
        <v>6297.2115114521985</v>
      </c>
      <c r="M302" s="62">
        <f>$J$302-EFEITO!$K$302*EFEITO!$Y$302</f>
        <v>0</v>
      </c>
      <c r="N302" s="62">
        <f ca="1">$K$302-EFEITO!$M$302*EFEITO!$Z$302</f>
        <v>2249.5802637734123</v>
      </c>
      <c r="O302" s="62">
        <f>$L$302-EFEITO!$O$302*EFEITO!$AA$302</f>
        <v>629.72115114521966</v>
      </c>
      <c r="P302" s="45"/>
      <c r="Q302" s="45"/>
      <c r="R302" s="45"/>
      <c r="S302" s="45"/>
      <c r="T302" s="45"/>
      <c r="U302" s="45"/>
      <c r="V302" s="45"/>
      <c r="W302" s="45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41" t="s">
        <v>21</v>
      </c>
      <c r="B303" s="41" t="s">
        <v>22</v>
      </c>
      <c r="C303" s="41" t="s">
        <v>23</v>
      </c>
      <c r="D303" s="41" t="s">
        <v>24</v>
      </c>
      <c r="E303" s="41" t="s">
        <v>31</v>
      </c>
      <c r="F303" s="41" t="s">
        <v>25</v>
      </c>
      <c r="G303" s="41" t="s">
        <v>25</v>
      </c>
      <c r="H303" s="41" t="s">
        <v>25</v>
      </c>
      <c r="I303" s="61">
        <v>44593</v>
      </c>
      <c r="J303" s="62">
        <f>EFEITO!$J$303*EFEITO!$Y$227</f>
        <v>0</v>
      </c>
      <c r="K303" s="62">
        <f ca="1">EFEITO!$L$303*EFEITO!$Z$314</f>
        <v>22005.787323833967</v>
      </c>
      <c r="L303" s="62">
        <f>EFEITO!$N$303*EFEITO!$AA$314</f>
        <v>6160.0423637151071</v>
      </c>
      <c r="M303" s="62">
        <f>$J$303-EFEITO!$K$303*EFEITO!$Y$303</f>
        <v>0</v>
      </c>
      <c r="N303" s="62">
        <f ca="1">$K$303-EFEITO!$M$303*EFEITO!$Z$303</f>
        <v>2200.5787323833974</v>
      </c>
      <c r="O303" s="62">
        <f>$L$303-EFEITO!$O$303*EFEITO!$AA$303</f>
        <v>616.00423637151016</v>
      </c>
      <c r="P303" s="45"/>
      <c r="Q303" s="45"/>
      <c r="R303" s="45"/>
      <c r="S303" s="45"/>
      <c r="T303" s="45"/>
      <c r="U303" s="45"/>
      <c r="V303" s="45"/>
      <c r="W303" s="45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41" t="s">
        <v>21</v>
      </c>
      <c r="B304" s="41" t="s">
        <v>22</v>
      </c>
      <c r="C304" s="41" t="s">
        <v>23</v>
      </c>
      <c r="D304" s="41" t="s">
        <v>24</v>
      </c>
      <c r="E304" s="41" t="s">
        <v>31</v>
      </c>
      <c r="F304" s="41" t="s">
        <v>25</v>
      </c>
      <c r="G304" s="41" t="s">
        <v>25</v>
      </c>
      <c r="H304" s="41" t="s">
        <v>25</v>
      </c>
      <c r="I304" s="61">
        <v>44621</v>
      </c>
      <c r="J304" s="62">
        <f>EFEITO!$J$304*EFEITO!$Y$227</f>
        <v>0</v>
      </c>
      <c r="K304" s="62">
        <f ca="1">EFEITO!$L$304*EFEITO!$Z$314</f>
        <v>21916.959846613023</v>
      </c>
      <c r="L304" s="62">
        <f>EFEITO!$N$304*EFEITO!$AA$314</f>
        <v>6135.1770401213316</v>
      </c>
      <c r="M304" s="62">
        <f>$J$304-EFEITO!$K$304*EFEITO!$Y$304</f>
        <v>0</v>
      </c>
      <c r="N304" s="62">
        <f ca="1">$K$304-EFEITO!$M$304*EFEITO!$Z$304</f>
        <v>2191.6959846613026</v>
      </c>
      <c r="O304" s="62">
        <f>$L$304-EFEITO!$O$304*EFEITO!$AA$304</f>
        <v>613.51770401213253</v>
      </c>
      <c r="P304" s="45"/>
      <c r="Q304" s="45"/>
      <c r="R304" s="45"/>
      <c r="S304" s="45"/>
      <c r="T304" s="45"/>
      <c r="U304" s="45"/>
      <c r="V304" s="45"/>
      <c r="W304" s="45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41" t="s">
        <v>27</v>
      </c>
      <c r="B305" s="41" t="s">
        <v>22</v>
      </c>
      <c r="C305" s="41" t="s">
        <v>23</v>
      </c>
      <c r="D305" s="41" t="s">
        <v>24</v>
      </c>
      <c r="E305" s="41" t="s">
        <v>31</v>
      </c>
      <c r="F305" s="41" t="s">
        <v>25</v>
      </c>
      <c r="G305" s="41" t="s">
        <v>25</v>
      </c>
      <c r="H305" s="41" t="s">
        <v>25</v>
      </c>
      <c r="I305" s="61">
        <v>44621</v>
      </c>
      <c r="J305" s="62">
        <f>EFEITO!$J$305*EFEITO!$Y$227</f>
        <v>0</v>
      </c>
      <c r="K305" s="62">
        <f ca="1">EFEITO!$L$305*EFEITO!$Z$314</f>
        <v>14.641891849605637</v>
      </c>
      <c r="L305" s="62">
        <f>EFEITO!$N$305*EFEITO!$AA$314</f>
        <v>4.0986797132596973</v>
      </c>
      <c r="M305" s="62">
        <f>$J$305-EFEITO!$K$305*EFEITO!$Y$305</f>
        <v>0</v>
      </c>
      <c r="N305" s="62">
        <f ca="1">$K$305-EFEITO!$M$305*EFEITO!$Z$305</f>
        <v>1.4641891849605635</v>
      </c>
      <c r="O305" s="62">
        <f>$L$305-EFEITO!$O$305*EFEITO!$AA$305</f>
        <v>0.40986797132597008</v>
      </c>
      <c r="P305" s="45"/>
      <c r="Q305" s="45"/>
      <c r="R305" s="45"/>
      <c r="S305" s="45"/>
      <c r="T305" s="45"/>
      <c r="U305" s="45"/>
      <c r="V305" s="45"/>
      <c r="W305" s="45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41" t="s">
        <v>21</v>
      </c>
      <c r="B306" s="41" t="s">
        <v>22</v>
      </c>
      <c r="C306" s="41" t="s">
        <v>23</v>
      </c>
      <c r="D306" s="41" t="s">
        <v>24</v>
      </c>
      <c r="E306" s="41" t="s">
        <v>31</v>
      </c>
      <c r="F306" s="41" t="s">
        <v>25</v>
      </c>
      <c r="G306" s="41" t="s">
        <v>25</v>
      </c>
      <c r="H306" s="41" t="s">
        <v>25</v>
      </c>
      <c r="I306" s="61">
        <v>44652</v>
      </c>
      <c r="J306" s="62">
        <f>EFEITO!$J$306*EFEITO!$Y$227</f>
        <v>0</v>
      </c>
      <c r="K306" s="62">
        <f ca="1">EFEITO!$L$306*EFEITO!$Z$314</f>
        <v>21692.938901314061</v>
      </c>
      <c r="L306" s="62">
        <f>EFEITO!$N$306*EFEITO!$AA$314</f>
        <v>6072.4672405084584</v>
      </c>
      <c r="M306" s="62">
        <f>$J$306-EFEITO!$K$306*EFEITO!$Y$306</f>
        <v>0</v>
      </c>
      <c r="N306" s="62">
        <f ca="1">$K$306-EFEITO!$M$306*EFEITO!$Z$306</f>
        <v>2169.2938901314083</v>
      </c>
      <c r="O306" s="62">
        <f>$L$306-EFEITO!$O$306*EFEITO!$AA$306</f>
        <v>607.24672405084493</v>
      </c>
      <c r="P306" s="45"/>
      <c r="Q306" s="45"/>
      <c r="R306" s="45"/>
      <c r="S306" s="45"/>
      <c r="T306" s="45"/>
      <c r="U306" s="45"/>
      <c r="V306" s="45"/>
      <c r="W306" s="45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41" t="s">
        <v>21</v>
      </c>
      <c r="B307" s="41" t="s">
        <v>22</v>
      </c>
      <c r="C307" s="41" t="s">
        <v>23</v>
      </c>
      <c r="D307" s="41" t="s">
        <v>24</v>
      </c>
      <c r="E307" s="41" t="s">
        <v>31</v>
      </c>
      <c r="F307" s="41" t="s">
        <v>25</v>
      </c>
      <c r="G307" s="41" t="s">
        <v>25</v>
      </c>
      <c r="H307" s="41" t="s">
        <v>25</v>
      </c>
      <c r="I307" s="61">
        <v>44682</v>
      </c>
      <c r="J307" s="62">
        <f>EFEITO!$J$307*EFEITO!$Y$227</f>
        <v>0</v>
      </c>
      <c r="K307" s="62">
        <f ca="1">EFEITO!$L$307*EFEITO!$Z$314</f>
        <v>19969.100167553821</v>
      </c>
      <c r="L307" s="62">
        <f>EFEITO!$N$307*EFEITO!$AA$314</f>
        <v>5589.9160156006837</v>
      </c>
      <c r="M307" s="62">
        <f>$J$307-EFEITO!$K$307*EFEITO!$Y$307</f>
        <v>0</v>
      </c>
      <c r="N307" s="62">
        <f ca="1">$K$307-EFEITO!$M$307*EFEITO!$Z$307</f>
        <v>1996.9100167553806</v>
      </c>
      <c r="O307" s="62">
        <f>$L$307-EFEITO!$O$307*EFEITO!$AA$307</f>
        <v>558.99160156006837</v>
      </c>
      <c r="P307" s="45"/>
      <c r="Q307" s="45"/>
      <c r="R307" s="45"/>
      <c r="S307" s="45"/>
      <c r="T307" s="45"/>
      <c r="U307" s="45"/>
      <c r="V307" s="45"/>
      <c r="W307" s="45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41" t="s">
        <v>21</v>
      </c>
      <c r="B308" s="41" t="s">
        <v>22</v>
      </c>
      <c r="C308" s="41" t="s">
        <v>23</v>
      </c>
      <c r="D308" s="41" t="s">
        <v>24</v>
      </c>
      <c r="E308" s="41" t="s">
        <v>31</v>
      </c>
      <c r="F308" s="41" t="s">
        <v>25</v>
      </c>
      <c r="G308" s="41" t="s">
        <v>25</v>
      </c>
      <c r="H308" s="41" t="s">
        <v>25</v>
      </c>
      <c r="I308" s="61">
        <v>44713</v>
      </c>
      <c r="J308" s="62">
        <f>EFEITO!$J$308*EFEITO!$Y$227</f>
        <v>0</v>
      </c>
      <c r="K308" s="62">
        <f ca="1">EFEITO!$L$308*EFEITO!$Z$314</f>
        <v>18468.306252969243</v>
      </c>
      <c r="L308" s="62">
        <f>EFEITO!$N$308*EFEITO!$AA$314</f>
        <v>5169.8013449915652</v>
      </c>
      <c r="M308" s="62">
        <f>$J$308-EFEITO!$K$308*EFEITO!$Y$308</f>
        <v>0</v>
      </c>
      <c r="N308" s="62">
        <f ca="1">$K$308-EFEITO!$M$308*EFEITO!$Z$308</f>
        <v>1846.8306252969232</v>
      </c>
      <c r="O308" s="62">
        <f>$L$308-EFEITO!$O$308*EFEITO!$AA$308</f>
        <v>516.98013449915652</v>
      </c>
      <c r="P308" s="45"/>
      <c r="Q308" s="45"/>
      <c r="R308" s="45"/>
      <c r="S308" s="45"/>
      <c r="T308" s="45"/>
      <c r="U308" s="45"/>
      <c r="V308" s="45"/>
      <c r="W308" s="45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41" t="s">
        <v>27</v>
      </c>
      <c r="B309" s="41" t="s">
        <v>22</v>
      </c>
      <c r="C309" s="41" t="s">
        <v>23</v>
      </c>
      <c r="D309" s="41" t="s">
        <v>24</v>
      </c>
      <c r="E309" s="41" t="s">
        <v>31</v>
      </c>
      <c r="F309" s="41" t="s">
        <v>25</v>
      </c>
      <c r="G309" s="41" t="s">
        <v>25</v>
      </c>
      <c r="H309" s="41" t="s">
        <v>25</v>
      </c>
      <c r="I309" s="61">
        <v>44713</v>
      </c>
      <c r="J309" s="62">
        <f>EFEITO!$J$309*EFEITO!$Y$227</f>
        <v>0</v>
      </c>
      <c r="K309" s="62">
        <f ca="1">EFEITO!$L$309*EFEITO!$Z$314</f>
        <v>-7.8090089864563401</v>
      </c>
      <c r="L309" s="62">
        <f>EFEITO!$N$309*EFEITO!$AA$314</f>
        <v>-2.185962513738505</v>
      </c>
      <c r="M309" s="62">
        <f>$J$309-EFEITO!$K$309*EFEITO!$Y$309</f>
        <v>0</v>
      </c>
      <c r="N309" s="62">
        <f ca="1">$K$309-EFEITO!$M$309*EFEITO!$Z$309</f>
        <v>-0.78090089864563428</v>
      </c>
      <c r="O309" s="62">
        <f>$L$309-EFEITO!$O$309*EFEITO!$AA$309</f>
        <v>-0.21859625137385041</v>
      </c>
      <c r="P309" s="45"/>
      <c r="Q309" s="45"/>
      <c r="R309" s="45"/>
      <c r="S309" s="45"/>
      <c r="T309" s="45"/>
      <c r="U309" s="45"/>
      <c r="V309" s="45"/>
      <c r="W309" s="45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41" t="s">
        <v>21</v>
      </c>
      <c r="B310" s="41" t="s">
        <v>22</v>
      </c>
      <c r="C310" s="41" t="s">
        <v>23</v>
      </c>
      <c r="D310" s="41" t="s">
        <v>24</v>
      </c>
      <c r="E310" s="41" t="s">
        <v>31</v>
      </c>
      <c r="F310" s="41" t="s">
        <v>25</v>
      </c>
      <c r="G310" s="41" t="s">
        <v>25</v>
      </c>
      <c r="H310" s="41" t="s">
        <v>25</v>
      </c>
      <c r="I310" s="61">
        <v>44743</v>
      </c>
      <c r="J310" s="62">
        <f>EFEITO!$J$310*EFEITO!$Y$227</f>
        <v>0</v>
      </c>
      <c r="K310" s="62">
        <f ca="1">EFEITO!$L$310*EFEITO!$Z$314</f>
        <v>18218.417965402641</v>
      </c>
      <c r="L310" s="62">
        <f>EFEITO!$N$310*EFEITO!$AA$314</f>
        <v>5099.8505445519331</v>
      </c>
      <c r="M310" s="62">
        <f>$J$310-EFEITO!$K$310*EFEITO!$Y$310</f>
        <v>0</v>
      </c>
      <c r="N310" s="62">
        <f ca="1">$K$310-EFEITO!$M$310*EFEITO!$Z$310</f>
        <v>1821.8417965402623</v>
      </c>
      <c r="O310" s="62">
        <f>$L$310-EFEITO!$O$310*EFEITO!$AA$310</f>
        <v>509.98505445519368</v>
      </c>
      <c r="P310" s="45"/>
      <c r="Q310" s="45"/>
      <c r="R310" s="45"/>
      <c r="S310" s="45"/>
      <c r="T310" s="45"/>
      <c r="U310" s="45"/>
      <c r="V310" s="45"/>
      <c r="W310" s="4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41" t="s">
        <v>27</v>
      </c>
      <c r="B311" s="41" t="s">
        <v>22</v>
      </c>
      <c r="C311" s="41" t="s">
        <v>23</v>
      </c>
      <c r="D311" s="41" t="s">
        <v>24</v>
      </c>
      <c r="E311" s="41" t="s">
        <v>31</v>
      </c>
      <c r="F311" s="41" t="s">
        <v>25</v>
      </c>
      <c r="G311" s="41" t="s">
        <v>25</v>
      </c>
      <c r="H311" s="41" t="s">
        <v>25</v>
      </c>
      <c r="I311" s="61">
        <v>44743</v>
      </c>
      <c r="J311" s="62">
        <f>EFEITO!$J$311*EFEITO!$Y$227</f>
        <v>0</v>
      </c>
      <c r="K311" s="62">
        <f ca="1">EFEITO!$L$311*EFEITO!$Z$314</f>
        <v>64.424324138264808</v>
      </c>
      <c r="L311" s="62">
        <f>EFEITO!$N$311*EFEITO!$AA$314</f>
        <v>18.034190738342669</v>
      </c>
      <c r="M311" s="62">
        <f>$J$311-EFEITO!$K$311*EFEITO!$Y$311</f>
        <v>0</v>
      </c>
      <c r="N311" s="62">
        <f ca="1">$K$311-EFEITO!$M$311*EFEITO!$Z$311</f>
        <v>6.4424324138264808</v>
      </c>
      <c r="O311" s="62">
        <f>$L$311-EFEITO!$O$311*EFEITO!$AA$311</f>
        <v>1.8034190738342666</v>
      </c>
      <c r="P311" s="45"/>
      <c r="Q311" s="45"/>
      <c r="R311" s="45"/>
      <c r="S311" s="45"/>
      <c r="T311" s="45"/>
      <c r="U311" s="45"/>
      <c r="V311" s="45"/>
      <c r="W311" s="45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41" t="s">
        <v>55</v>
      </c>
      <c r="B312" s="41" t="s">
        <v>22</v>
      </c>
      <c r="C312" s="41" t="s">
        <v>23</v>
      </c>
      <c r="D312" s="41" t="s">
        <v>24</v>
      </c>
      <c r="E312" s="41" t="s">
        <v>31</v>
      </c>
      <c r="F312" s="41" t="s">
        <v>25</v>
      </c>
      <c r="G312" s="41" t="s">
        <v>25</v>
      </c>
      <c r="H312" s="41" t="s">
        <v>25</v>
      </c>
      <c r="I312" s="61">
        <v>44774</v>
      </c>
      <c r="J312" s="62">
        <f>EFEITO!$J$312*EFEITO!$Y$227</f>
        <v>0</v>
      </c>
      <c r="K312" s="62">
        <f ca="1">EFEITO!$L$312*EFEITO!$Z$314</f>
        <v>18218.417965402641</v>
      </c>
      <c r="L312" s="62">
        <f>EFEITO!$N$312*EFEITO!$AA$314</f>
        <v>5099.8505445519331</v>
      </c>
      <c r="M312" s="62">
        <f>$J$312-EFEITO!$K$312*EFEITO!$Y$312</f>
        <v>0</v>
      </c>
      <c r="N312" s="62">
        <f ca="1">$K$312-EFEITO!$M$312*EFEITO!$Z$312</f>
        <v>1821.8417965402623</v>
      </c>
      <c r="O312" s="62">
        <f>$L$312-EFEITO!$O$312*EFEITO!$AA$312</f>
        <v>509.98505445519368</v>
      </c>
      <c r="P312" s="45"/>
      <c r="Q312" s="45"/>
      <c r="R312" s="45"/>
      <c r="S312" s="45"/>
      <c r="T312" s="45"/>
      <c r="U312" s="45"/>
      <c r="V312" s="45"/>
      <c r="W312" s="45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41" t="s">
        <v>55</v>
      </c>
      <c r="B313" s="41" t="s">
        <v>22</v>
      </c>
      <c r="C313" s="41" t="s">
        <v>23</v>
      </c>
      <c r="D313" s="41" t="s">
        <v>24</v>
      </c>
      <c r="E313" s="41" t="s">
        <v>31</v>
      </c>
      <c r="F313" s="41" t="s">
        <v>25</v>
      </c>
      <c r="G313" s="41" t="s">
        <v>25</v>
      </c>
      <c r="H313" s="41" t="s">
        <v>25</v>
      </c>
      <c r="I313" s="61">
        <v>44774</v>
      </c>
      <c r="J313" s="62">
        <f>EFEITO!$J$313*EFEITO!$Y$227</f>
        <v>0</v>
      </c>
      <c r="K313" s="62">
        <f ca="1">EFEITO!$L$313*EFEITO!$Z$314</f>
        <v>64.424324138264808</v>
      </c>
      <c r="L313" s="62">
        <f>EFEITO!$N$313*EFEITO!$AA$314</f>
        <v>18.034190738342669</v>
      </c>
      <c r="M313" s="62">
        <f>$J$313-EFEITO!$K$313*EFEITO!$Y$313</f>
        <v>0</v>
      </c>
      <c r="N313" s="62">
        <f ca="1">$K$313-EFEITO!$M$313*EFEITO!$Z$313</f>
        <v>6.4424324138264808</v>
      </c>
      <c r="O313" s="62">
        <f>$L$313-EFEITO!$O$313*EFEITO!$AA$313</f>
        <v>1.8034190738342666</v>
      </c>
      <c r="P313" s="45"/>
      <c r="Q313" s="45"/>
      <c r="R313" s="45"/>
      <c r="S313" s="45"/>
      <c r="T313" s="45"/>
      <c r="U313" s="45"/>
      <c r="V313" s="45"/>
      <c r="W313" s="45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41" t="s">
        <v>21</v>
      </c>
      <c r="B314" s="41" t="s">
        <v>22</v>
      </c>
      <c r="C314" s="41" t="s">
        <v>23</v>
      </c>
      <c r="D314" s="41" t="s">
        <v>24</v>
      </c>
      <c r="E314" s="41" t="s">
        <v>32</v>
      </c>
      <c r="F314" s="41" t="s">
        <v>25</v>
      </c>
      <c r="G314" s="41" t="s">
        <v>25</v>
      </c>
      <c r="H314" s="41" t="s">
        <v>25</v>
      </c>
      <c r="I314" s="61">
        <v>44440</v>
      </c>
      <c r="J314" s="62">
        <f>EFEITO!$J$314*EFEITO!$Y$227</f>
        <v>0</v>
      </c>
      <c r="K314" s="62">
        <f ca="1">EFEITO!$L$314*EFEITO!$Z$314</f>
        <v>6943.673178144647</v>
      </c>
      <c r="L314" s="62">
        <f>EFEITO!$N$314*EFEITO!$AA$314</f>
        <v>1943.730542684857</v>
      </c>
      <c r="M314" s="62">
        <f>$J$314-EFEITO!$K$314*EFEITO!$Y$314</f>
        <v>0</v>
      </c>
      <c r="N314" s="62">
        <f ca="1">$K$314-EFEITO!$M$314*EFEITO!$Z$314</f>
        <v>0</v>
      </c>
      <c r="O314" s="62">
        <f>$L$314-EFEITO!$O$314*EFEITO!$AA$314</f>
        <v>0</v>
      </c>
      <c r="P314" s="45"/>
      <c r="Q314" s="45"/>
      <c r="R314" s="45"/>
      <c r="S314" s="45"/>
      <c r="T314" s="45"/>
      <c r="U314" s="45"/>
      <c r="V314" s="45"/>
      <c r="W314" s="45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41" t="s">
        <v>21</v>
      </c>
      <c r="B315" s="41" t="s">
        <v>22</v>
      </c>
      <c r="C315" s="41" t="s">
        <v>23</v>
      </c>
      <c r="D315" s="41" t="s">
        <v>24</v>
      </c>
      <c r="E315" s="41" t="s">
        <v>32</v>
      </c>
      <c r="F315" s="41" t="s">
        <v>25</v>
      </c>
      <c r="G315" s="41" t="s">
        <v>25</v>
      </c>
      <c r="H315" s="41" t="s">
        <v>25</v>
      </c>
      <c r="I315" s="61">
        <v>44470</v>
      </c>
      <c r="J315" s="62">
        <f>EFEITO!$J$315*EFEITO!$Y$227</f>
        <v>0</v>
      </c>
      <c r="K315" s="62">
        <f ca="1">EFEITO!$L$315*EFEITO!$Z$314</f>
        <v>6779.1959263674098</v>
      </c>
      <c r="L315" s="62">
        <f>EFEITO!$N$315*EFEITO!$AA$314</f>
        <v>1897.6887072392399</v>
      </c>
      <c r="M315" s="62">
        <f>$J$315-EFEITO!$K$315*EFEITO!$Y$315</f>
        <v>0</v>
      </c>
      <c r="N315" s="62">
        <f ca="1">$K$315-EFEITO!$M$315*EFEITO!$Z$315</f>
        <v>0</v>
      </c>
      <c r="O315" s="62">
        <f>$L$315-EFEITO!$O$315*EFEITO!$AA$315</f>
        <v>0</v>
      </c>
      <c r="P315" s="45"/>
      <c r="Q315" s="45"/>
      <c r="R315" s="45"/>
      <c r="S315" s="45"/>
      <c r="T315" s="45"/>
      <c r="U315" s="45"/>
      <c r="V315" s="45"/>
      <c r="W315" s="45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41" t="s">
        <v>27</v>
      </c>
      <c r="B316" s="41" t="s">
        <v>22</v>
      </c>
      <c r="C316" s="41" t="s">
        <v>23</v>
      </c>
      <c r="D316" s="41" t="s">
        <v>24</v>
      </c>
      <c r="E316" s="41" t="s">
        <v>32</v>
      </c>
      <c r="F316" s="41" t="s">
        <v>25</v>
      </c>
      <c r="G316" s="41" t="s">
        <v>25</v>
      </c>
      <c r="H316" s="41" t="s">
        <v>25</v>
      </c>
      <c r="I316" s="61">
        <v>44470</v>
      </c>
      <c r="J316" s="62">
        <f>EFEITO!$J$316*EFEITO!$Y$227</f>
        <v>0</v>
      </c>
      <c r="K316" s="62">
        <f ca="1">EFEITO!$L$316*EFEITO!$Z$314</f>
        <v>-18.058333281180285</v>
      </c>
      <c r="L316" s="62">
        <f>EFEITO!$N$316*EFEITO!$AA$314</f>
        <v>-5.0550383130202929</v>
      </c>
      <c r="M316" s="62">
        <f>$J$316-EFEITO!$K$316*EFEITO!$Y$316</f>
        <v>0</v>
      </c>
      <c r="N316" s="62">
        <f ca="1">$K$316-EFEITO!$M$316*EFEITO!$Z$316</f>
        <v>0</v>
      </c>
      <c r="O316" s="62">
        <f>$L$316-EFEITO!$O$316*EFEITO!$AA$316</f>
        <v>0</v>
      </c>
      <c r="P316" s="45"/>
      <c r="Q316" s="45"/>
      <c r="R316" s="45"/>
      <c r="S316" s="45"/>
      <c r="T316" s="45"/>
      <c r="U316" s="45"/>
      <c r="V316" s="45"/>
      <c r="W316" s="45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41" t="s">
        <v>21</v>
      </c>
      <c r="B317" s="41" t="s">
        <v>22</v>
      </c>
      <c r="C317" s="41" t="s">
        <v>23</v>
      </c>
      <c r="D317" s="41" t="s">
        <v>24</v>
      </c>
      <c r="E317" s="41" t="s">
        <v>32</v>
      </c>
      <c r="F317" s="41" t="s">
        <v>25</v>
      </c>
      <c r="G317" s="41" t="s">
        <v>25</v>
      </c>
      <c r="H317" s="41" t="s">
        <v>25</v>
      </c>
      <c r="I317" s="61">
        <v>44501</v>
      </c>
      <c r="J317" s="62">
        <f>EFEITO!$J$317*EFEITO!$Y$227</f>
        <v>0</v>
      </c>
      <c r="K317" s="62">
        <f ca="1">EFEITO!$L$317*EFEITO!$Z$314</f>
        <v>7434.1765551064354</v>
      </c>
      <c r="L317" s="62">
        <f>EFEITO!$N$317*EFEITO!$AA$314</f>
        <v>2081.036313079057</v>
      </c>
      <c r="M317" s="62">
        <f>$J$317-EFEITO!$K$317*EFEITO!$Y$317</f>
        <v>0</v>
      </c>
      <c r="N317" s="62">
        <f ca="1">$K$317-EFEITO!$M$317*EFEITO!$Z$317</f>
        <v>0</v>
      </c>
      <c r="O317" s="62">
        <f>$L$317-EFEITO!$O$317*EFEITO!$AA$317</f>
        <v>0</v>
      </c>
      <c r="P317" s="45"/>
      <c r="Q317" s="45"/>
      <c r="R317" s="45"/>
      <c r="S317" s="45"/>
      <c r="T317" s="45"/>
      <c r="U317" s="45"/>
      <c r="V317" s="45"/>
      <c r="W317" s="45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41" t="s">
        <v>27</v>
      </c>
      <c r="B318" s="41" t="s">
        <v>22</v>
      </c>
      <c r="C318" s="41" t="s">
        <v>23</v>
      </c>
      <c r="D318" s="41" t="s">
        <v>24</v>
      </c>
      <c r="E318" s="41" t="s">
        <v>32</v>
      </c>
      <c r="F318" s="41" t="s">
        <v>25</v>
      </c>
      <c r="G318" s="41" t="s">
        <v>25</v>
      </c>
      <c r="H318" s="41" t="s">
        <v>25</v>
      </c>
      <c r="I318" s="61">
        <v>44501</v>
      </c>
      <c r="J318" s="62">
        <f>EFEITO!$J$318*EFEITO!$Y$227</f>
        <v>0</v>
      </c>
      <c r="K318" s="62">
        <f ca="1">EFEITO!$L$318*EFEITO!$Z$314</f>
        <v>-625.20878197816069</v>
      </c>
      <c r="L318" s="62">
        <f>EFEITO!$N$318*EFEITO!$AA$314</f>
        <v>-175.01362375618905</v>
      </c>
      <c r="M318" s="62">
        <f>$J$318-EFEITO!$K$318*EFEITO!$Y$318</f>
        <v>0</v>
      </c>
      <c r="N318" s="62">
        <f ca="1">$K$318-EFEITO!$M$318*EFEITO!$Z$318</f>
        <v>0</v>
      </c>
      <c r="O318" s="62">
        <f>$L$318-EFEITO!$O$318*EFEITO!$AA$318</f>
        <v>0</v>
      </c>
      <c r="P318" s="45"/>
      <c r="Q318" s="45"/>
      <c r="R318" s="45"/>
      <c r="S318" s="45"/>
      <c r="T318" s="45"/>
      <c r="U318" s="45"/>
      <c r="V318" s="45"/>
      <c r="W318" s="45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41" t="s">
        <v>21</v>
      </c>
      <c r="B319" s="41" t="s">
        <v>22</v>
      </c>
      <c r="C319" s="41" t="s">
        <v>23</v>
      </c>
      <c r="D319" s="41" t="s">
        <v>24</v>
      </c>
      <c r="E319" s="41" t="s">
        <v>32</v>
      </c>
      <c r="F319" s="41" t="s">
        <v>25</v>
      </c>
      <c r="G319" s="41" t="s">
        <v>25</v>
      </c>
      <c r="H319" s="41" t="s">
        <v>25</v>
      </c>
      <c r="I319" s="61">
        <v>44531</v>
      </c>
      <c r="J319" s="62">
        <f>EFEITO!$J$319*EFEITO!$Y$227</f>
        <v>0</v>
      </c>
      <c r="K319" s="62">
        <f ca="1">EFEITO!$L$319*EFEITO!$Z$314</f>
        <v>8677.2731731379536</v>
      </c>
      <c r="L319" s="62">
        <f>EFEITO!$N$319*EFEITO!$AA$314</f>
        <v>2429.0142207348049</v>
      </c>
      <c r="M319" s="62">
        <f>$J$319-EFEITO!$K$319*EFEITO!$Y$319</f>
        <v>0</v>
      </c>
      <c r="N319" s="62">
        <f ca="1">$K$319-EFEITO!$M$319*EFEITO!$Z$319</f>
        <v>0</v>
      </c>
      <c r="O319" s="62">
        <f>$L$319-EFEITO!$O$319*EFEITO!$AA$319</f>
        <v>0</v>
      </c>
      <c r="P319" s="45"/>
      <c r="Q319" s="45"/>
      <c r="R319" s="45"/>
      <c r="S319" s="45"/>
      <c r="T319" s="45"/>
      <c r="U319" s="45"/>
      <c r="V319" s="45"/>
      <c r="W319" s="45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41" t="s">
        <v>27</v>
      </c>
      <c r="B320" s="41" t="s">
        <v>22</v>
      </c>
      <c r="C320" s="41" t="s">
        <v>23</v>
      </c>
      <c r="D320" s="41" t="s">
        <v>24</v>
      </c>
      <c r="E320" s="41" t="s">
        <v>32</v>
      </c>
      <c r="F320" s="41" t="s">
        <v>25</v>
      </c>
      <c r="G320" s="41" t="s">
        <v>25</v>
      </c>
      <c r="H320" s="41" t="s">
        <v>25</v>
      </c>
      <c r="I320" s="61">
        <v>44531</v>
      </c>
      <c r="J320" s="62">
        <f>EFEITO!$J$320*EFEITO!$Y$227</f>
        <v>0</v>
      </c>
      <c r="K320" s="62">
        <f ca="1">EFEITO!$L$320*EFEITO!$Z$314</f>
        <v>-119.57545010511269</v>
      </c>
      <c r="L320" s="62">
        <f>EFEITO!$N$320*EFEITO!$AA$314</f>
        <v>-33.472550991620857</v>
      </c>
      <c r="M320" s="62">
        <f>$J$320-EFEITO!$K$320*EFEITO!$Y$320</f>
        <v>0</v>
      </c>
      <c r="N320" s="62">
        <f ca="1">$K$320-EFEITO!$M$320*EFEITO!$Z$320</f>
        <v>0</v>
      </c>
      <c r="O320" s="62">
        <f>$L$320-EFEITO!$O$320*EFEITO!$AA$320</f>
        <v>0</v>
      </c>
      <c r="P320" s="45"/>
      <c r="Q320" s="45"/>
      <c r="R320" s="45"/>
      <c r="S320" s="45"/>
      <c r="T320" s="45"/>
      <c r="U320" s="45"/>
      <c r="V320" s="45"/>
      <c r="W320" s="45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41" t="s">
        <v>21</v>
      </c>
      <c r="B321" s="41" t="s">
        <v>22</v>
      </c>
      <c r="C321" s="41" t="s">
        <v>23</v>
      </c>
      <c r="D321" s="41" t="s">
        <v>24</v>
      </c>
      <c r="E321" s="41" t="s">
        <v>32</v>
      </c>
      <c r="F321" s="41" t="s">
        <v>25</v>
      </c>
      <c r="G321" s="41" t="s">
        <v>25</v>
      </c>
      <c r="H321" s="41" t="s">
        <v>25</v>
      </c>
      <c r="I321" s="61">
        <v>44562</v>
      </c>
      <c r="J321" s="62">
        <f>EFEITO!$J$321*EFEITO!$Y$227</f>
        <v>0</v>
      </c>
      <c r="K321" s="62">
        <f ca="1">EFEITO!$L$321*EFEITO!$Z$314</f>
        <v>14901.053335343657</v>
      </c>
      <c r="L321" s="62">
        <f>EFEITO!$N$321*EFEITO!$AA$314</f>
        <v>4171.2263441843934</v>
      </c>
      <c r="M321" s="62">
        <f>$J$321-EFEITO!$K$321*EFEITO!$Y$321</f>
        <v>0</v>
      </c>
      <c r="N321" s="62">
        <f ca="1">$K$321-EFEITO!$M$321*EFEITO!$Z$321</f>
        <v>0</v>
      </c>
      <c r="O321" s="62">
        <f>$L$321-EFEITO!$O$321*EFEITO!$AA$321</f>
        <v>0</v>
      </c>
      <c r="P321" s="45"/>
      <c r="Q321" s="45"/>
      <c r="R321" s="45"/>
      <c r="S321" s="45"/>
      <c r="T321" s="45"/>
      <c r="U321" s="45"/>
      <c r="V321" s="45"/>
      <c r="W321" s="45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41" t="s">
        <v>21</v>
      </c>
      <c r="B322" s="41" t="s">
        <v>22</v>
      </c>
      <c r="C322" s="41" t="s">
        <v>23</v>
      </c>
      <c r="D322" s="41" t="s">
        <v>24</v>
      </c>
      <c r="E322" s="41" t="s">
        <v>32</v>
      </c>
      <c r="F322" s="41" t="s">
        <v>25</v>
      </c>
      <c r="G322" s="41" t="s">
        <v>25</v>
      </c>
      <c r="H322" s="41" t="s">
        <v>25</v>
      </c>
      <c r="I322" s="61">
        <v>44593</v>
      </c>
      <c r="J322" s="62">
        <f>EFEITO!$J$322*EFEITO!$Y$227</f>
        <v>0</v>
      </c>
      <c r="K322" s="62">
        <f ca="1">EFEITO!$L$322*EFEITO!$Z$314</f>
        <v>13833.171356445751</v>
      </c>
      <c r="L322" s="62">
        <f>EFEITO!$N$322*EFEITO!$AA$314</f>
        <v>3872.2959704306531</v>
      </c>
      <c r="M322" s="62">
        <f>$J$322-EFEITO!$K$322*EFEITO!$Y$322</f>
        <v>0</v>
      </c>
      <c r="N322" s="62">
        <f ca="1">$K$322-EFEITO!$M$322*EFEITO!$Z$322</f>
        <v>0</v>
      </c>
      <c r="O322" s="62">
        <f>$L$322-EFEITO!$O$322*EFEITO!$AA$322</f>
        <v>0</v>
      </c>
      <c r="P322" s="45"/>
      <c r="Q322" s="45"/>
      <c r="R322" s="45"/>
      <c r="S322" s="45"/>
      <c r="T322" s="45"/>
      <c r="U322" s="45"/>
      <c r="V322" s="45"/>
      <c r="W322" s="45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41" t="s">
        <v>21</v>
      </c>
      <c r="B323" s="41" t="s">
        <v>22</v>
      </c>
      <c r="C323" s="41" t="s">
        <v>23</v>
      </c>
      <c r="D323" s="41" t="s">
        <v>24</v>
      </c>
      <c r="E323" s="41" t="s">
        <v>32</v>
      </c>
      <c r="F323" s="41" t="s">
        <v>25</v>
      </c>
      <c r="G323" s="41" t="s">
        <v>25</v>
      </c>
      <c r="H323" s="41" t="s">
        <v>25</v>
      </c>
      <c r="I323" s="61">
        <v>44621</v>
      </c>
      <c r="J323" s="62">
        <f>EFEITO!$J$323*EFEITO!$Y$227</f>
        <v>0</v>
      </c>
      <c r="K323" s="62">
        <f ca="1">EFEITO!$L$323*EFEITO!$Z$314</f>
        <v>12027.826091389377</v>
      </c>
      <c r="L323" s="62">
        <f>EFEITO!$N$323*EFEITO!$AA$314</f>
        <v>3366.9287617857321</v>
      </c>
      <c r="M323" s="62">
        <f>$J$323-EFEITO!$K$323*EFEITO!$Y$323</f>
        <v>0</v>
      </c>
      <c r="N323" s="62">
        <f ca="1">$K$323-EFEITO!$M$323*EFEITO!$Z$323</f>
        <v>0</v>
      </c>
      <c r="O323" s="62">
        <f>$L$323-EFEITO!$O$323*EFEITO!$AA$323</f>
        <v>0</v>
      </c>
      <c r="P323" s="45"/>
      <c r="Q323" s="45"/>
      <c r="R323" s="45"/>
      <c r="S323" s="45"/>
      <c r="T323" s="45"/>
      <c r="U323" s="45"/>
      <c r="V323" s="45"/>
      <c r="W323" s="4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41" t="s">
        <v>21</v>
      </c>
      <c r="B324" s="41" t="s">
        <v>22</v>
      </c>
      <c r="C324" s="41" t="s">
        <v>23</v>
      </c>
      <c r="D324" s="41" t="s">
        <v>24</v>
      </c>
      <c r="E324" s="41" t="s">
        <v>32</v>
      </c>
      <c r="F324" s="41" t="s">
        <v>25</v>
      </c>
      <c r="G324" s="41" t="s">
        <v>25</v>
      </c>
      <c r="H324" s="41" t="s">
        <v>25</v>
      </c>
      <c r="I324" s="61">
        <v>44652</v>
      </c>
      <c r="J324" s="62">
        <f>EFEITO!$J$324*EFEITO!$Y$227</f>
        <v>0</v>
      </c>
      <c r="K324" s="62">
        <f ca="1">EFEITO!$L$324*EFEITO!$Z$314</f>
        <v>9595.3197921082283</v>
      </c>
      <c r="L324" s="62">
        <f>EFEITO!$N$324*EFEITO!$AA$314</f>
        <v>2686.0014387561882</v>
      </c>
      <c r="M324" s="62">
        <f>$J$324-EFEITO!$K$324*EFEITO!$Y$324</f>
        <v>0</v>
      </c>
      <c r="N324" s="62">
        <f ca="1">$K$324-EFEITO!$M$324*EFEITO!$Z$324</f>
        <v>0</v>
      </c>
      <c r="O324" s="62">
        <f>$L$324-EFEITO!$O$324*EFEITO!$AA$324</f>
        <v>0</v>
      </c>
      <c r="P324" s="45"/>
      <c r="Q324" s="45"/>
      <c r="R324" s="45"/>
      <c r="S324" s="45"/>
      <c r="T324" s="45"/>
      <c r="U324" s="45"/>
      <c r="V324" s="45"/>
      <c r="W324" s="4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41" t="s">
        <v>21</v>
      </c>
      <c r="B325" s="41" t="s">
        <v>22</v>
      </c>
      <c r="C325" s="41" t="s">
        <v>23</v>
      </c>
      <c r="D325" s="41" t="s">
        <v>24</v>
      </c>
      <c r="E325" s="41" t="s">
        <v>32</v>
      </c>
      <c r="F325" s="41" t="s">
        <v>25</v>
      </c>
      <c r="G325" s="41" t="s">
        <v>25</v>
      </c>
      <c r="H325" s="41" t="s">
        <v>25</v>
      </c>
      <c r="I325" s="61">
        <v>44682</v>
      </c>
      <c r="J325" s="62">
        <f>EFEITO!$J$325*EFEITO!$Y$227</f>
        <v>0</v>
      </c>
      <c r="K325" s="62">
        <f ca="1">EFEITO!$L$325*EFEITO!$Z$314</f>
        <v>6346.7720537423902</v>
      </c>
      <c r="L325" s="62">
        <f>EFEITO!$N$325*EFEITO!$AA$314</f>
        <v>1776.6410330409699</v>
      </c>
      <c r="M325" s="62">
        <f>$J$325-EFEITO!$K$325*EFEITO!$Y$325</f>
        <v>0</v>
      </c>
      <c r="N325" s="62">
        <f ca="1">$K$325-EFEITO!$M$325*EFEITO!$Z$325</f>
        <v>0</v>
      </c>
      <c r="O325" s="62">
        <f>$L$325-EFEITO!$O$325*EFEITO!$AA$325</f>
        <v>0</v>
      </c>
      <c r="P325" s="45"/>
      <c r="Q325" s="45"/>
      <c r="R325" s="45"/>
      <c r="S325" s="45"/>
      <c r="T325" s="45"/>
      <c r="U325" s="45"/>
      <c r="V325" s="45"/>
      <c r="W325" s="4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41" t="s">
        <v>21</v>
      </c>
      <c r="B326" s="41" t="s">
        <v>22</v>
      </c>
      <c r="C326" s="41" t="s">
        <v>23</v>
      </c>
      <c r="D326" s="41" t="s">
        <v>24</v>
      </c>
      <c r="E326" s="41" t="s">
        <v>32</v>
      </c>
      <c r="F326" s="41" t="s">
        <v>25</v>
      </c>
      <c r="G326" s="41" t="s">
        <v>25</v>
      </c>
      <c r="H326" s="41" t="s">
        <v>25</v>
      </c>
      <c r="I326" s="61">
        <v>44713</v>
      </c>
      <c r="J326" s="62">
        <f>EFEITO!$J$326*EFEITO!$Y$227</f>
        <v>0</v>
      </c>
      <c r="K326" s="62">
        <f ca="1">EFEITO!$L$326*EFEITO!$Z$314</f>
        <v>9040.3920910081742</v>
      </c>
      <c r="L326" s="62">
        <f>EFEITO!$N$326*EFEITO!$AA$314</f>
        <v>2530.6614776236456</v>
      </c>
      <c r="M326" s="62">
        <f>$J$326-EFEITO!$K$326*EFEITO!$Y$326</f>
        <v>0</v>
      </c>
      <c r="N326" s="62">
        <f ca="1">$K$326-EFEITO!$M$326*EFEITO!$Z$326</f>
        <v>0</v>
      </c>
      <c r="O326" s="62">
        <f>$L$326-EFEITO!$O$326*EFEITO!$AA$326</f>
        <v>0</v>
      </c>
      <c r="P326" s="45"/>
      <c r="Q326" s="45"/>
      <c r="R326" s="45"/>
      <c r="S326" s="45"/>
      <c r="T326" s="45"/>
      <c r="U326" s="45"/>
      <c r="V326" s="45"/>
      <c r="W326" s="4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41" t="s">
        <v>27</v>
      </c>
      <c r="B327" s="41" t="s">
        <v>22</v>
      </c>
      <c r="C327" s="41" t="s">
        <v>23</v>
      </c>
      <c r="D327" s="41" t="s">
        <v>24</v>
      </c>
      <c r="E327" s="41" t="s">
        <v>32</v>
      </c>
      <c r="F327" s="41" t="s">
        <v>25</v>
      </c>
      <c r="G327" s="41" t="s">
        <v>25</v>
      </c>
      <c r="H327" s="41" t="s">
        <v>25</v>
      </c>
      <c r="I327" s="61">
        <v>44713</v>
      </c>
      <c r="J327" s="62">
        <f>EFEITO!$J$327*EFEITO!$Y$227</f>
        <v>0</v>
      </c>
      <c r="K327" s="62">
        <f ca="1">EFEITO!$L$327*EFEITO!$Z$314</f>
        <v>150.81148605093807</v>
      </c>
      <c r="L327" s="62">
        <f>EFEITO!$N$327*EFEITO!$AA$314</f>
        <v>42.21640104657488</v>
      </c>
      <c r="M327" s="62">
        <f>$J$327-EFEITO!$K$327*EFEITO!$Y$327</f>
        <v>0</v>
      </c>
      <c r="N327" s="62">
        <f ca="1">$K$327-EFEITO!$M$327*EFEITO!$Z$327</f>
        <v>0</v>
      </c>
      <c r="O327" s="62">
        <f>$L$327-EFEITO!$O$327*EFEITO!$AA$327</f>
        <v>0</v>
      </c>
      <c r="P327" s="45"/>
      <c r="Q327" s="45"/>
      <c r="R327" s="45"/>
      <c r="S327" s="45"/>
      <c r="T327" s="45"/>
      <c r="U327" s="45"/>
      <c r="V327" s="45"/>
      <c r="W327" s="45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41" t="s">
        <v>21</v>
      </c>
      <c r="B328" s="41" t="s">
        <v>22</v>
      </c>
      <c r="C328" s="41" t="s">
        <v>23</v>
      </c>
      <c r="D328" s="41" t="s">
        <v>24</v>
      </c>
      <c r="E328" s="41" t="s">
        <v>32</v>
      </c>
      <c r="F328" s="41" t="s">
        <v>25</v>
      </c>
      <c r="G328" s="41" t="s">
        <v>25</v>
      </c>
      <c r="H328" s="41" t="s">
        <v>25</v>
      </c>
      <c r="I328" s="61">
        <v>44743</v>
      </c>
      <c r="J328" s="62">
        <f>EFEITO!$J$328*EFEITO!$Y$227</f>
        <v>0</v>
      </c>
      <c r="K328" s="62">
        <f ca="1">EFEITO!$L$328*EFEITO!$Z$314</f>
        <v>9269.2936669236751</v>
      </c>
      <c r="L328" s="62">
        <f>EFEITO!$N$328*EFEITO!$AA$314</f>
        <v>2594.7375038076057</v>
      </c>
      <c r="M328" s="62">
        <f>$J$328-EFEITO!$K$328*EFEITO!$Y$328</f>
        <v>0</v>
      </c>
      <c r="N328" s="62">
        <f ca="1">$K$328-EFEITO!$M$328*EFEITO!$Z$328</f>
        <v>0</v>
      </c>
      <c r="O328" s="62">
        <f>$L$328-EFEITO!$O$328*EFEITO!$AA$328</f>
        <v>0</v>
      </c>
      <c r="P328" s="45"/>
      <c r="Q328" s="45"/>
      <c r="R328" s="45"/>
      <c r="S328" s="45"/>
      <c r="T328" s="45"/>
      <c r="U328" s="45"/>
      <c r="V328" s="45"/>
      <c r="W328" s="45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41" t="s">
        <v>27</v>
      </c>
      <c r="B329" s="41" t="s">
        <v>22</v>
      </c>
      <c r="C329" s="41" t="s">
        <v>23</v>
      </c>
      <c r="D329" s="41" t="s">
        <v>24</v>
      </c>
      <c r="E329" s="41" t="s">
        <v>32</v>
      </c>
      <c r="F329" s="41" t="s">
        <v>25</v>
      </c>
      <c r="G329" s="41" t="s">
        <v>25</v>
      </c>
      <c r="H329" s="41" t="s">
        <v>25</v>
      </c>
      <c r="I329" s="61">
        <v>44743</v>
      </c>
      <c r="J329" s="62">
        <f>EFEITO!$J$329*EFEITO!$Y$227</f>
        <v>0</v>
      </c>
      <c r="K329" s="62">
        <f ca="1">EFEITO!$L$329*EFEITO!$Z$314</f>
        <v>152.76373829755215</v>
      </c>
      <c r="L329" s="62">
        <f>EFEITO!$N$329*EFEITO!$AA$314</f>
        <v>42.762891675009506</v>
      </c>
      <c r="M329" s="62">
        <f>$J$329-EFEITO!$K$329*EFEITO!$Y$329</f>
        <v>0</v>
      </c>
      <c r="N329" s="62">
        <f ca="1">$K$329-EFEITO!$M$329*EFEITO!$Z$329</f>
        <v>0</v>
      </c>
      <c r="O329" s="62">
        <f>$L$329-EFEITO!$O$329*EFEITO!$AA$329</f>
        <v>0</v>
      </c>
      <c r="P329" s="45"/>
      <c r="Q329" s="45"/>
      <c r="R329" s="45"/>
      <c r="S329" s="45"/>
      <c r="T329" s="45"/>
      <c r="U329" s="45"/>
      <c r="V329" s="45"/>
      <c r="W329" s="45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41" t="s">
        <v>55</v>
      </c>
      <c r="B330" s="41" t="s">
        <v>22</v>
      </c>
      <c r="C330" s="41" t="s">
        <v>23</v>
      </c>
      <c r="D330" s="41" t="s">
        <v>24</v>
      </c>
      <c r="E330" s="41" t="s">
        <v>32</v>
      </c>
      <c r="F330" s="41" t="s">
        <v>25</v>
      </c>
      <c r="G330" s="41" t="s">
        <v>25</v>
      </c>
      <c r="H330" s="41" t="s">
        <v>25</v>
      </c>
      <c r="I330" s="61">
        <v>44774</v>
      </c>
      <c r="J330" s="62">
        <f>EFEITO!$J$330*EFEITO!$Y$227</f>
        <v>0</v>
      </c>
      <c r="K330" s="62">
        <f ca="1">EFEITO!$L$330*EFEITO!$Z$314</f>
        <v>9269.2936669236751</v>
      </c>
      <c r="L330" s="62">
        <f>EFEITO!$N$330*EFEITO!$AA$314</f>
        <v>2594.7375038076057</v>
      </c>
      <c r="M330" s="62">
        <f>$J$330-EFEITO!$K$330*EFEITO!$Y$330</f>
        <v>0</v>
      </c>
      <c r="N330" s="62">
        <f ca="1">$K$330-EFEITO!$M$330*EFEITO!$Z$330</f>
        <v>0</v>
      </c>
      <c r="O330" s="62">
        <f>$L$330-EFEITO!$O$330*EFEITO!$AA$330</f>
        <v>0</v>
      </c>
      <c r="P330" s="45"/>
      <c r="Q330" s="45"/>
      <c r="R330" s="45"/>
      <c r="S330" s="45"/>
      <c r="T330" s="45"/>
      <c r="U330" s="45"/>
      <c r="V330" s="45"/>
      <c r="W330" s="45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41" t="s">
        <v>55</v>
      </c>
      <c r="B331" s="41" t="s">
        <v>22</v>
      </c>
      <c r="C331" s="41" t="s">
        <v>23</v>
      </c>
      <c r="D331" s="41" t="s">
        <v>24</v>
      </c>
      <c r="E331" s="41" t="s">
        <v>32</v>
      </c>
      <c r="F331" s="41" t="s">
        <v>25</v>
      </c>
      <c r="G331" s="41" t="s">
        <v>25</v>
      </c>
      <c r="H331" s="41" t="s">
        <v>25</v>
      </c>
      <c r="I331" s="61">
        <v>44774</v>
      </c>
      <c r="J331" s="62">
        <f>EFEITO!$J$331*EFEITO!$Y$227</f>
        <v>0</v>
      </c>
      <c r="K331" s="62">
        <f ca="1">EFEITO!$L$331*EFEITO!$Z$314</f>
        <v>152.76373829755215</v>
      </c>
      <c r="L331" s="62">
        <f>EFEITO!$N$331*EFEITO!$AA$314</f>
        <v>42.762891675009506</v>
      </c>
      <c r="M331" s="62">
        <f>$J$331-EFEITO!$K$331*EFEITO!$Y$331</f>
        <v>0</v>
      </c>
      <c r="N331" s="62">
        <f ca="1">$K$331-EFEITO!$M$331*EFEITO!$Z$331</f>
        <v>0</v>
      </c>
      <c r="O331" s="62">
        <f>$L$331-EFEITO!$O$331*EFEITO!$AA$331</f>
        <v>0</v>
      </c>
      <c r="P331" s="45"/>
      <c r="Q331" s="45"/>
      <c r="R331" s="45"/>
      <c r="S331" s="45"/>
      <c r="T331" s="45"/>
      <c r="U331" s="45"/>
      <c r="V331" s="45"/>
      <c r="W331" s="45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41" t="s">
        <v>21</v>
      </c>
      <c r="B332" s="41" t="s">
        <v>43</v>
      </c>
      <c r="C332" s="41" t="s">
        <v>23</v>
      </c>
      <c r="D332" s="41" t="s">
        <v>44</v>
      </c>
      <c r="E332" s="41" t="s">
        <v>52</v>
      </c>
      <c r="F332" s="41" t="s">
        <v>53</v>
      </c>
      <c r="G332" s="41" t="s">
        <v>25</v>
      </c>
      <c r="H332" s="41" t="s">
        <v>25</v>
      </c>
      <c r="I332" s="61">
        <v>44440</v>
      </c>
      <c r="J332" s="62">
        <f>EFEITO!$J$332*EFEITO!$Y$227</f>
        <v>0</v>
      </c>
      <c r="K332" s="62">
        <f ca="1">EFEITO!$L$332*EFEITO!$Z$227</f>
        <v>554.80001091929842</v>
      </c>
      <c r="L332" s="62">
        <f>EFEITO!$N$332*EFEITO!$AA$227</f>
        <v>128.42529768213717</v>
      </c>
      <c r="M332" s="62">
        <f>$J$332-EFEITO!$K$332*EFEITO!$Y$332</f>
        <v>0</v>
      </c>
      <c r="N332" s="62">
        <f ca="1">$K$332-EFEITO!$M$332*EFEITO!$Z$332</f>
        <v>33.28800065515793</v>
      </c>
      <c r="O332" s="62">
        <f>$L$332-EFEITO!$O$332*EFEITO!$AA$332</f>
        <v>7.7055178609282393</v>
      </c>
      <c r="P332" s="45"/>
      <c r="Q332" s="45"/>
      <c r="R332" s="45"/>
      <c r="S332" s="45"/>
      <c r="T332" s="45"/>
      <c r="U332" s="45"/>
      <c r="V332" s="45"/>
      <c r="W332" s="45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41" t="s">
        <v>21</v>
      </c>
      <c r="B333" s="41" t="s">
        <v>43</v>
      </c>
      <c r="C333" s="41" t="s">
        <v>23</v>
      </c>
      <c r="D333" s="41" t="s">
        <v>44</v>
      </c>
      <c r="E333" s="41" t="s">
        <v>52</v>
      </c>
      <c r="F333" s="41" t="s">
        <v>53</v>
      </c>
      <c r="G333" s="41" t="s">
        <v>25</v>
      </c>
      <c r="H333" s="41" t="s">
        <v>25</v>
      </c>
      <c r="I333" s="61">
        <v>44470</v>
      </c>
      <c r="J333" s="62">
        <f>EFEITO!$J$333*EFEITO!$Y$227</f>
        <v>0</v>
      </c>
      <c r="K333" s="62">
        <f ca="1">EFEITO!$L$333*EFEITO!$Z$227</f>
        <v>643.33192755535674</v>
      </c>
      <c r="L333" s="62">
        <f>EFEITO!$N$333*EFEITO!$AA$227</f>
        <v>148.91869624843568</v>
      </c>
      <c r="M333" s="62">
        <f>$J$333-EFEITO!$K$333*EFEITO!$Y$333</f>
        <v>0</v>
      </c>
      <c r="N333" s="62">
        <f ca="1">$K$333-EFEITO!$M$333*EFEITO!$Z$333</f>
        <v>38.599915653321432</v>
      </c>
      <c r="O333" s="62">
        <f>$L$333-EFEITO!$O$333*EFEITO!$AA$333</f>
        <v>8.9351217749061504</v>
      </c>
      <c r="P333" s="45"/>
      <c r="Q333" s="45"/>
      <c r="R333" s="45"/>
      <c r="S333" s="45"/>
      <c r="T333" s="45"/>
      <c r="U333" s="45"/>
      <c r="V333" s="45"/>
      <c r="W333" s="4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41" t="s">
        <v>21</v>
      </c>
      <c r="B334" s="41" t="s">
        <v>43</v>
      </c>
      <c r="C334" s="41" t="s">
        <v>23</v>
      </c>
      <c r="D334" s="41" t="s">
        <v>44</v>
      </c>
      <c r="E334" s="41" t="s">
        <v>52</v>
      </c>
      <c r="F334" s="41" t="s">
        <v>53</v>
      </c>
      <c r="G334" s="41" t="s">
        <v>25</v>
      </c>
      <c r="H334" s="41" t="s">
        <v>25</v>
      </c>
      <c r="I334" s="61">
        <v>44501</v>
      </c>
      <c r="J334" s="62">
        <f>EFEITO!$J$334*EFEITO!$Y$227</f>
        <v>0</v>
      </c>
      <c r="K334" s="62">
        <f ca="1">EFEITO!$L$334*EFEITO!$Z$227</f>
        <v>1389.9510911861146</v>
      </c>
      <c r="L334" s="62">
        <f>EFEITO!$N$334*EFEITO!$AA$227</f>
        <v>321.74635749088623</v>
      </c>
      <c r="M334" s="62">
        <f>$J$334-EFEITO!$K$334*EFEITO!$Y$334</f>
        <v>0</v>
      </c>
      <c r="N334" s="62">
        <f ca="1">$K$334-EFEITO!$M$334*EFEITO!$Z$334</f>
        <v>83.397065471166798</v>
      </c>
      <c r="O334" s="62">
        <f>$L$334-EFEITO!$O$334*EFEITO!$AA$334</f>
        <v>19.304781449453174</v>
      </c>
      <c r="P334" s="45"/>
      <c r="Q334" s="45"/>
      <c r="R334" s="45"/>
      <c r="S334" s="45"/>
      <c r="T334" s="45"/>
      <c r="U334" s="45"/>
      <c r="V334" s="45"/>
      <c r="W334" s="4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41" t="s">
        <v>21</v>
      </c>
      <c r="B335" s="41" t="s">
        <v>43</v>
      </c>
      <c r="C335" s="41" t="s">
        <v>23</v>
      </c>
      <c r="D335" s="41" t="s">
        <v>44</v>
      </c>
      <c r="E335" s="41" t="s">
        <v>52</v>
      </c>
      <c r="F335" s="41" t="s">
        <v>53</v>
      </c>
      <c r="G335" s="41" t="s">
        <v>25</v>
      </c>
      <c r="H335" s="41" t="s">
        <v>25</v>
      </c>
      <c r="I335" s="61">
        <v>44531</v>
      </c>
      <c r="J335" s="62">
        <f>EFEITO!$J$335*EFEITO!$Y$227</f>
        <v>0</v>
      </c>
      <c r="K335" s="62">
        <f ca="1">EFEITO!$L$335*EFEITO!$Z$227</f>
        <v>1990.7876987561635</v>
      </c>
      <c r="L335" s="62">
        <f>EFEITO!$N$335*EFEITO!$AA$227</f>
        <v>460.82822242749864</v>
      </c>
      <c r="M335" s="62">
        <f>$J$335-EFEITO!$K$335*EFEITO!$Y$335</f>
        <v>0</v>
      </c>
      <c r="N335" s="62">
        <f ca="1">$K$335-EFEITO!$M$335*EFEITO!$Z$335</f>
        <v>119.44726192536996</v>
      </c>
      <c r="O335" s="62">
        <f>$L$335-EFEITO!$O$335*EFEITO!$AA$335</f>
        <v>27.649693345649951</v>
      </c>
      <c r="P335" s="45"/>
      <c r="Q335" s="45"/>
      <c r="R335" s="45"/>
      <c r="S335" s="45"/>
      <c r="T335" s="45"/>
      <c r="U335" s="45"/>
      <c r="V335" s="45"/>
      <c r="W335" s="4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41" t="s">
        <v>21</v>
      </c>
      <c r="B336" s="41" t="s">
        <v>43</v>
      </c>
      <c r="C336" s="41" t="s">
        <v>23</v>
      </c>
      <c r="D336" s="41" t="s">
        <v>44</v>
      </c>
      <c r="E336" s="41" t="s">
        <v>52</v>
      </c>
      <c r="F336" s="41" t="s">
        <v>53</v>
      </c>
      <c r="G336" s="41" t="s">
        <v>25</v>
      </c>
      <c r="H336" s="41" t="s">
        <v>25</v>
      </c>
      <c r="I336" s="61">
        <v>44562</v>
      </c>
      <c r="J336" s="62">
        <f>EFEITO!$J$336*EFEITO!$Y$227</f>
        <v>0</v>
      </c>
      <c r="K336" s="62">
        <f ca="1">EFEITO!$L$336*EFEITO!$Z$227</f>
        <v>1496.7796039269583</v>
      </c>
      <c r="L336" s="62">
        <f>EFEITO!$N$336*EFEITO!$AA$227</f>
        <v>346.47505842755305</v>
      </c>
      <c r="M336" s="62">
        <f>$J$336-EFEITO!$K$336*EFEITO!$Y$336</f>
        <v>0</v>
      </c>
      <c r="N336" s="62">
        <f ca="1">$K$336-EFEITO!$M$336*EFEITO!$Z$336</f>
        <v>89.806776235617463</v>
      </c>
      <c r="O336" s="62">
        <f>$L$336-EFEITO!$O$336*EFEITO!$AA$336</f>
        <v>20.788503505653182</v>
      </c>
      <c r="P336" s="45"/>
      <c r="Q336" s="45"/>
      <c r="R336" s="45"/>
      <c r="S336" s="45"/>
      <c r="T336" s="45"/>
      <c r="U336" s="45"/>
      <c r="V336" s="45"/>
      <c r="W336" s="45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41" t="s">
        <v>21</v>
      </c>
      <c r="B337" s="41" t="s">
        <v>43</v>
      </c>
      <c r="C337" s="41" t="s">
        <v>23</v>
      </c>
      <c r="D337" s="41" t="s">
        <v>44</v>
      </c>
      <c r="E337" s="41" t="s">
        <v>52</v>
      </c>
      <c r="F337" s="41" t="s">
        <v>53</v>
      </c>
      <c r="G337" s="41" t="s">
        <v>25</v>
      </c>
      <c r="H337" s="41" t="s">
        <v>25</v>
      </c>
      <c r="I337" s="61">
        <v>44593</v>
      </c>
      <c r="J337" s="62">
        <f>EFEITO!$J$337*EFEITO!$Y$227</f>
        <v>0</v>
      </c>
      <c r="K337" s="62">
        <f ca="1">EFEITO!$L$337*EFEITO!$Z$227</f>
        <v>1892.8123776789255</v>
      </c>
      <c r="L337" s="62">
        <f>EFEITO!$N$337*EFEITO!$AA$227</f>
        <v>438.1488613474616</v>
      </c>
      <c r="M337" s="62">
        <f>$J$337-EFEITO!$K$337*EFEITO!$Y$337</f>
        <v>0</v>
      </c>
      <c r="N337" s="62">
        <f ca="1">$K$337-EFEITO!$M$337*EFEITO!$Z$337</f>
        <v>113.56874266073555</v>
      </c>
      <c r="O337" s="62">
        <f>$L$337-EFEITO!$O$337*EFEITO!$AA$337</f>
        <v>26.288931680847725</v>
      </c>
      <c r="P337" s="45"/>
      <c r="Q337" s="45"/>
      <c r="R337" s="45"/>
      <c r="S337" s="45"/>
      <c r="T337" s="45"/>
      <c r="U337" s="45"/>
      <c r="V337" s="45"/>
      <c r="W337" s="45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41" t="s">
        <v>21</v>
      </c>
      <c r="B338" s="41" t="s">
        <v>43</v>
      </c>
      <c r="C338" s="41" t="s">
        <v>23</v>
      </c>
      <c r="D338" s="41" t="s">
        <v>44</v>
      </c>
      <c r="E338" s="41" t="s">
        <v>52</v>
      </c>
      <c r="F338" s="41" t="s">
        <v>53</v>
      </c>
      <c r="G338" s="41" t="s">
        <v>25</v>
      </c>
      <c r="H338" s="41" t="s">
        <v>25</v>
      </c>
      <c r="I338" s="61">
        <v>44621</v>
      </c>
      <c r="J338" s="62">
        <f>EFEITO!$J$338*EFEITO!$Y$227</f>
        <v>0</v>
      </c>
      <c r="K338" s="62">
        <f ca="1">EFEITO!$L$338*EFEITO!$Z$227</f>
        <v>4854.5000955438609</v>
      </c>
      <c r="L338" s="62">
        <f>EFEITO!$N$338*EFEITO!$AA$227</f>
        <v>1123.7213547187002</v>
      </c>
      <c r="M338" s="62">
        <f>$J$338-EFEITO!$K$338*EFEITO!$Y$338</f>
        <v>0</v>
      </c>
      <c r="N338" s="62">
        <f ca="1">$K$338-EFEITO!$M$338*EFEITO!$Z$338</f>
        <v>291.27000573263194</v>
      </c>
      <c r="O338" s="62">
        <f>$L$338-EFEITO!$O$338*EFEITO!$AA$338</f>
        <v>67.423281283122151</v>
      </c>
      <c r="P338" s="45"/>
      <c r="Q338" s="45"/>
      <c r="R338" s="45"/>
      <c r="S338" s="45"/>
      <c r="T338" s="45"/>
      <c r="U338" s="45"/>
      <c r="V338" s="45"/>
      <c r="W338" s="4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41" t="s">
        <v>21</v>
      </c>
      <c r="B339" s="41" t="s">
        <v>43</v>
      </c>
      <c r="C339" s="41" t="s">
        <v>23</v>
      </c>
      <c r="D339" s="41" t="s">
        <v>44</v>
      </c>
      <c r="E339" s="41" t="s">
        <v>52</v>
      </c>
      <c r="F339" s="41" t="s">
        <v>53</v>
      </c>
      <c r="G339" s="41" t="s">
        <v>25</v>
      </c>
      <c r="H339" s="41" t="s">
        <v>25</v>
      </c>
      <c r="I339" s="61">
        <v>44652</v>
      </c>
      <c r="J339" s="62">
        <f>EFEITO!$J$339*EFEITO!$Y$227</f>
        <v>0</v>
      </c>
      <c r="K339" s="62">
        <f ca="1">EFEITO!$L$339*EFEITO!$Z$227</f>
        <v>1346.2753456456594</v>
      </c>
      <c r="L339" s="62">
        <f>EFEITO!$N$339*EFEITO!$AA$227</f>
        <v>311.63628086484567</v>
      </c>
      <c r="M339" s="62">
        <f>$J$339-EFEITO!$K$339*EFEITO!$Y$339</f>
        <v>0</v>
      </c>
      <c r="N339" s="62">
        <f ca="1">$K$339-EFEITO!$M$339*EFEITO!$Z$339</f>
        <v>80.776520738739691</v>
      </c>
      <c r="O339" s="62">
        <f>$L$339-EFEITO!$O$339*EFEITO!$AA$339</f>
        <v>18.698176851890764</v>
      </c>
      <c r="P339" s="45"/>
      <c r="Q339" s="45"/>
      <c r="R339" s="45"/>
      <c r="S339" s="45"/>
      <c r="T339" s="45"/>
      <c r="U339" s="45"/>
      <c r="V339" s="45"/>
      <c r="W339" s="45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41" t="s">
        <v>27</v>
      </c>
      <c r="B340" s="41" t="s">
        <v>43</v>
      </c>
      <c r="C340" s="41" t="s">
        <v>23</v>
      </c>
      <c r="D340" s="41" t="s">
        <v>44</v>
      </c>
      <c r="E340" s="41" t="s">
        <v>52</v>
      </c>
      <c r="F340" s="41" t="s">
        <v>53</v>
      </c>
      <c r="G340" s="41" t="s">
        <v>25</v>
      </c>
      <c r="H340" s="41" t="s">
        <v>25</v>
      </c>
      <c r="I340" s="61">
        <v>44652</v>
      </c>
      <c r="J340" s="62">
        <f>EFEITO!$J$340*EFEITO!$Y$227</f>
        <v>0</v>
      </c>
      <c r="K340" s="62">
        <f ca="1">EFEITO!$L$340*EFEITO!$Z$227</f>
        <v>-3492.8792176812854</v>
      </c>
      <c r="L340" s="62">
        <f>EFEITO!$N$340*EFEITO!$AA$227</f>
        <v>-808.53288476902958</v>
      </c>
      <c r="M340" s="62">
        <f>$J$340-EFEITO!$K$340*EFEITO!$Y$340</f>
        <v>0</v>
      </c>
      <c r="N340" s="62">
        <f ca="1">$K$340-EFEITO!$M$340*EFEITO!$Z$340</f>
        <v>-209.5727530608774</v>
      </c>
      <c r="O340" s="62">
        <f>$L$340-EFEITO!$O$340*EFEITO!$AA$340</f>
        <v>-48.511973086141779</v>
      </c>
      <c r="P340" s="45"/>
      <c r="Q340" s="45"/>
      <c r="R340" s="45"/>
      <c r="S340" s="45"/>
      <c r="T340" s="45"/>
      <c r="U340" s="45"/>
      <c r="V340" s="45"/>
      <c r="W340" s="45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41" t="s">
        <v>21</v>
      </c>
      <c r="B341" s="41" t="s">
        <v>43</v>
      </c>
      <c r="C341" s="41" t="s">
        <v>23</v>
      </c>
      <c r="D341" s="41" t="s">
        <v>44</v>
      </c>
      <c r="E341" s="41" t="s">
        <v>52</v>
      </c>
      <c r="F341" s="41" t="s">
        <v>53</v>
      </c>
      <c r="G341" s="41" t="s">
        <v>25</v>
      </c>
      <c r="H341" s="41" t="s">
        <v>25</v>
      </c>
      <c r="I341" s="61">
        <v>44682</v>
      </c>
      <c r="J341" s="62">
        <f>EFEITO!$J$341*EFEITO!$Y$227</f>
        <v>0</v>
      </c>
      <c r="K341" s="62">
        <f ca="1">EFEITO!$L$341*EFEITO!$Z$227</f>
        <v>959.6859763348715</v>
      </c>
      <c r="L341" s="62">
        <f>EFEITO!$N$341*EFEITO!$AA$227</f>
        <v>222.14844045867557</v>
      </c>
      <c r="M341" s="62">
        <f>$J$341-EFEITO!$K$341*EFEITO!$Y$341</f>
        <v>0</v>
      </c>
      <c r="N341" s="62">
        <f ca="1">$K$341-EFEITO!$M$341*EFEITO!$Z$341</f>
        <v>57.581158580092278</v>
      </c>
      <c r="O341" s="62">
        <f>$L$341-EFEITO!$O$341*EFEITO!$AA$341</f>
        <v>13.328906427520536</v>
      </c>
      <c r="P341" s="45"/>
      <c r="Q341" s="45"/>
      <c r="R341" s="45"/>
      <c r="S341" s="45"/>
      <c r="T341" s="45"/>
      <c r="U341" s="45"/>
      <c r="V341" s="45"/>
      <c r="W341" s="45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41" t="s">
        <v>21</v>
      </c>
      <c r="B342" s="41" t="s">
        <v>43</v>
      </c>
      <c r="C342" s="41" t="s">
        <v>23</v>
      </c>
      <c r="D342" s="41" t="s">
        <v>44</v>
      </c>
      <c r="E342" s="41" t="s">
        <v>52</v>
      </c>
      <c r="F342" s="41" t="s">
        <v>53</v>
      </c>
      <c r="G342" s="41" t="s">
        <v>25</v>
      </c>
      <c r="H342" s="41" t="s">
        <v>25</v>
      </c>
      <c r="I342" s="61">
        <v>44713</v>
      </c>
      <c r="J342" s="62">
        <f>EFEITO!$J$342*EFEITO!$Y$227</f>
        <v>0</v>
      </c>
      <c r="K342" s="62">
        <f ca="1">EFEITO!$L$342*EFEITO!$Z$227</f>
        <v>1041.1353396400452</v>
      </c>
      <c r="L342" s="62">
        <f>EFEITO!$N$342*EFEITO!$AA$227</f>
        <v>241.00236713967018</v>
      </c>
      <c r="M342" s="62">
        <f>$J$342-EFEITO!$K$342*EFEITO!$Y$342</f>
        <v>0</v>
      </c>
      <c r="N342" s="62">
        <f ca="1">$K$342-EFEITO!$M$342*EFEITO!$Z$342</f>
        <v>62.468120378402773</v>
      </c>
      <c r="O342" s="62">
        <f>$L$342-EFEITO!$O$342*EFEITO!$AA$342</f>
        <v>14.460142028380204</v>
      </c>
      <c r="P342" s="45"/>
      <c r="Q342" s="45"/>
      <c r="R342" s="45"/>
      <c r="S342" s="45"/>
      <c r="T342" s="45"/>
      <c r="U342" s="45"/>
      <c r="V342" s="45"/>
      <c r="W342" s="45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41" t="s">
        <v>21</v>
      </c>
      <c r="B343" s="41" t="s">
        <v>43</v>
      </c>
      <c r="C343" s="41" t="s">
        <v>23</v>
      </c>
      <c r="D343" s="41" t="s">
        <v>44</v>
      </c>
      <c r="E343" s="41" t="s">
        <v>52</v>
      </c>
      <c r="F343" s="41" t="s">
        <v>53</v>
      </c>
      <c r="G343" s="41" t="s">
        <v>25</v>
      </c>
      <c r="H343" s="41" t="s">
        <v>25</v>
      </c>
      <c r="I343" s="61">
        <v>44743</v>
      </c>
      <c r="J343" s="62">
        <f>EFEITO!$J$343*EFEITO!$Y$227</f>
        <v>0</v>
      </c>
      <c r="K343" s="62">
        <f ca="1">EFEITO!$L$343*EFEITO!$Z$227</f>
        <v>1080.0893829599108</v>
      </c>
      <c r="L343" s="62">
        <f>EFEITO!$N$343*EFEITO!$AA$227</f>
        <v>250.01946250884154</v>
      </c>
      <c r="M343" s="62">
        <f>$J$343-EFEITO!$K$343*EFEITO!$Y$343</f>
        <v>0</v>
      </c>
      <c r="N343" s="62">
        <f ca="1">$K$343-EFEITO!$M$343*EFEITO!$Z$343</f>
        <v>64.805362977594655</v>
      </c>
      <c r="O343" s="62">
        <f>$L$343-EFEITO!$O$343*EFEITO!$AA$343</f>
        <v>15.001167750530499</v>
      </c>
      <c r="P343" s="45"/>
      <c r="Q343" s="45"/>
      <c r="R343" s="45"/>
      <c r="S343" s="45"/>
      <c r="T343" s="45"/>
      <c r="U343" s="45"/>
      <c r="V343" s="45"/>
      <c r="W343" s="45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41" t="s">
        <v>55</v>
      </c>
      <c r="B344" s="41" t="s">
        <v>43</v>
      </c>
      <c r="C344" s="41" t="s">
        <v>23</v>
      </c>
      <c r="D344" s="41" t="s">
        <v>44</v>
      </c>
      <c r="E344" s="41" t="s">
        <v>52</v>
      </c>
      <c r="F344" s="41" t="s">
        <v>53</v>
      </c>
      <c r="G344" s="41" t="s">
        <v>25</v>
      </c>
      <c r="H344" s="41" t="s">
        <v>25</v>
      </c>
      <c r="I344" s="61">
        <v>44774</v>
      </c>
      <c r="J344" s="62">
        <f>EFEITO!$J$344*EFEITO!$Y$227</f>
        <v>0</v>
      </c>
      <c r="K344" s="62">
        <f ca="1">EFEITO!$L$344*EFEITO!$Z$227</f>
        <v>1080.0893829599108</v>
      </c>
      <c r="L344" s="62">
        <f>EFEITO!$N$344*EFEITO!$AA$227</f>
        <v>250.01946250884154</v>
      </c>
      <c r="M344" s="62">
        <f>$J$344-EFEITO!$K$344*EFEITO!$Y$344</f>
        <v>0</v>
      </c>
      <c r="N344" s="62">
        <f ca="1">$K$344-EFEITO!$M$344*EFEITO!$Z$344</f>
        <v>64.805362977594655</v>
      </c>
      <c r="O344" s="62">
        <f>$L$344-EFEITO!$O$344*EFEITO!$AA$344</f>
        <v>15.001167750530499</v>
      </c>
      <c r="P344" s="45"/>
      <c r="Q344" s="45"/>
      <c r="R344" s="45"/>
      <c r="S344" s="45"/>
      <c r="T344" s="45"/>
      <c r="U344" s="45"/>
      <c r="V344" s="45"/>
      <c r="W344" s="45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41" t="s">
        <v>21</v>
      </c>
      <c r="B345" s="41" t="s">
        <v>43</v>
      </c>
      <c r="C345" s="41" t="s">
        <v>23</v>
      </c>
      <c r="D345" s="41" t="s">
        <v>44</v>
      </c>
      <c r="E345" s="41" t="s">
        <v>52</v>
      </c>
      <c r="F345" s="41" t="s">
        <v>54</v>
      </c>
      <c r="G345" s="41" t="s">
        <v>25</v>
      </c>
      <c r="H345" s="41" t="s">
        <v>25</v>
      </c>
      <c r="I345" s="61">
        <v>44440</v>
      </c>
      <c r="J345" s="62">
        <f>EFEITO!$J$345*EFEITO!$Y$227</f>
        <v>0</v>
      </c>
      <c r="K345" s="62">
        <f ca="1">EFEITO!$L$345*EFEITO!$Z$227</f>
        <v>393.08170986409868</v>
      </c>
      <c r="L345" s="62">
        <f>EFEITO!$N$345*EFEITO!$AA$227</f>
        <v>90.990689634365282</v>
      </c>
      <c r="M345" s="62">
        <f>$J$345-EFEITO!$K$345*EFEITO!$Y$345</f>
        <v>0</v>
      </c>
      <c r="N345" s="62">
        <f ca="1">$K$345-EFEITO!$M$345*EFEITO!$Z$345</f>
        <v>245.28298695519757</v>
      </c>
      <c r="O345" s="62">
        <f>$L$345-EFEITO!$O$345*EFEITO!$AA$345</f>
        <v>56.778190331843938</v>
      </c>
      <c r="P345" s="45"/>
      <c r="Q345" s="45"/>
      <c r="R345" s="45"/>
      <c r="S345" s="45"/>
      <c r="T345" s="45"/>
      <c r="U345" s="45"/>
      <c r="V345" s="45"/>
      <c r="W345" s="45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41" t="s">
        <v>21</v>
      </c>
      <c r="B346" s="41" t="s">
        <v>43</v>
      </c>
      <c r="C346" s="41" t="s">
        <v>23</v>
      </c>
      <c r="D346" s="41" t="s">
        <v>44</v>
      </c>
      <c r="E346" s="41" t="s">
        <v>52</v>
      </c>
      <c r="F346" s="41" t="s">
        <v>54</v>
      </c>
      <c r="G346" s="41" t="s">
        <v>25</v>
      </c>
      <c r="H346" s="41" t="s">
        <v>25</v>
      </c>
      <c r="I346" s="61">
        <v>44470</v>
      </c>
      <c r="J346" s="62">
        <f>EFEITO!$J$346*EFEITO!$Y$227</f>
        <v>0</v>
      </c>
      <c r="K346" s="62">
        <f ca="1">EFEITO!$L$346*EFEITO!$Z$227</f>
        <v>430.85532762881684</v>
      </c>
      <c r="L346" s="62">
        <f>EFEITO!$N$346*EFEITO!$AA$227</f>
        <v>99.734539689319291</v>
      </c>
      <c r="M346" s="62">
        <f>$J$346-EFEITO!$K$346*EFEITO!$Y$346</f>
        <v>0</v>
      </c>
      <c r="N346" s="62">
        <f ca="1">$K$346-EFEITO!$M$346*EFEITO!$Z$346</f>
        <v>268.85372444038171</v>
      </c>
      <c r="O346" s="62">
        <f>$L$346-EFEITO!$O$346*EFEITO!$AA$346</f>
        <v>62.234352766135238</v>
      </c>
      <c r="P346" s="45"/>
      <c r="Q346" s="45"/>
      <c r="R346" s="45"/>
      <c r="S346" s="45"/>
      <c r="T346" s="45"/>
      <c r="U346" s="45"/>
      <c r="V346" s="45"/>
      <c r="W346" s="45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41" t="s">
        <v>21</v>
      </c>
      <c r="B347" s="41" t="s">
        <v>43</v>
      </c>
      <c r="C347" s="41" t="s">
        <v>23</v>
      </c>
      <c r="D347" s="41" t="s">
        <v>44</v>
      </c>
      <c r="E347" s="41" t="s">
        <v>52</v>
      </c>
      <c r="F347" s="41" t="s">
        <v>54</v>
      </c>
      <c r="G347" s="41" t="s">
        <v>25</v>
      </c>
      <c r="H347" s="41" t="s">
        <v>25</v>
      </c>
      <c r="I347" s="61">
        <v>44501</v>
      </c>
      <c r="J347" s="62">
        <f>EFEITO!$J$347*EFEITO!$Y$227</f>
        <v>0</v>
      </c>
      <c r="K347" s="62">
        <f ca="1">EFEITO!$L$347*EFEITO!$Z$227</f>
        <v>1013.3953390940802</v>
      </c>
      <c r="L347" s="62">
        <f>EFEITO!$N$347*EFEITO!$AA$227</f>
        <v>234.58110225556334</v>
      </c>
      <c r="M347" s="62">
        <f>$J$347-EFEITO!$K$347*EFEITO!$Y$347</f>
        <v>0</v>
      </c>
      <c r="N347" s="62">
        <f ca="1">$K$347-EFEITO!$M$347*EFEITO!$Z$347</f>
        <v>632.3586915947061</v>
      </c>
      <c r="O347" s="62">
        <f>$L$347-EFEITO!$O$347*EFEITO!$AA$347</f>
        <v>146.37860780747155</v>
      </c>
      <c r="P347" s="45"/>
      <c r="Q347" s="45"/>
      <c r="R347" s="45"/>
      <c r="S347" s="45"/>
      <c r="T347" s="45"/>
      <c r="U347" s="45"/>
      <c r="V347" s="45"/>
      <c r="W347" s="45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41" t="s">
        <v>21</v>
      </c>
      <c r="B348" s="41" t="s">
        <v>43</v>
      </c>
      <c r="C348" s="41" t="s">
        <v>23</v>
      </c>
      <c r="D348" s="41" t="s">
        <v>44</v>
      </c>
      <c r="E348" s="41" t="s">
        <v>52</v>
      </c>
      <c r="F348" s="41" t="s">
        <v>54</v>
      </c>
      <c r="G348" s="41" t="s">
        <v>25</v>
      </c>
      <c r="H348" s="41" t="s">
        <v>25</v>
      </c>
      <c r="I348" s="61">
        <v>44531</v>
      </c>
      <c r="J348" s="62">
        <f>EFEITO!$J$348*EFEITO!$Y$227</f>
        <v>0</v>
      </c>
      <c r="K348" s="62">
        <f ca="1">EFEITO!$L$348*EFEITO!$Z$227</f>
        <v>1316.1744939893995</v>
      </c>
      <c r="L348" s="62">
        <f>EFEITO!$N$348*EFEITO!$AA$227</f>
        <v>304.66852535230413</v>
      </c>
      <c r="M348" s="62">
        <f>$J$348-EFEITO!$K$348*EFEITO!$Y$348</f>
        <v>0</v>
      </c>
      <c r="N348" s="62">
        <f ca="1">$K$348-EFEITO!$M$348*EFEITO!$Z$348</f>
        <v>821.29288424938522</v>
      </c>
      <c r="O348" s="62">
        <f>$L$348-EFEITO!$O$348*EFEITO!$AA$348</f>
        <v>190.11315981983779</v>
      </c>
      <c r="P348" s="45"/>
      <c r="Q348" s="45"/>
      <c r="R348" s="45"/>
      <c r="S348" s="45"/>
      <c r="T348" s="45"/>
      <c r="U348" s="45"/>
      <c r="V348" s="45"/>
      <c r="W348" s="4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41" t="s">
        <v>21</v>
      </c>
      <c r="B349" s="41" t="s">
        <v>43</v>
      </c>
      <c r="C349" s="41" t="s">
        <v>23</v>
      </c>
      <c r="D349" s="41" t="s">
        <v>44</v>
      </c>
      <c r="E349" s="41" t="s">
        <v>52</v>
      </c>
      <c r="F349" s="41" t="s">
        <v>54</v>
      </c>
      <c r="G349" s="41" t="s">
        <v>25</v>
      </c>
      <c r="H349" s="41" t="s">
        <v>25</v>
      </c>
      <c r="I349" s="61">
        <v>44562</v>
      </c>
      <c r="J349" s="62">
        <f>EFEITO!$J$349*EFEITO!$Y$227</f>
        <v>0</v>
      </c>
      <c r="K349" s="62">
        <f ca="1">EFEITO!$L$349*EFEITO!$Z$227</f>
        <v>257.33277102214265</v>
      </c>
      <c r="L349" s="62">
        <f>EFEITO!$N$349*EFEITO!$AA$227</f>
        <v>59.567478499374261</v>
      </c>
      <c r="M349" s="62">
        <f>$J$349-EFEITO!$K$349*EFEITO!$Y$349</f>
        <v>0</v>
      </c>
      <c r="N349" s="62">
        <f ca="1">$K$349-EFEITO!$M$349*EFEITO!$Z$349</f>
        <v>160.57564911781702</v>
      </c>
      <c r="O349" s="62">
        <f>$L$349-EFEITO!$O$349*EFEITO!$AA$349</f>
        <v>37.170106583609538</v>
      </c>
      <c r="P349" s="45"/>
      <c r="Q349" s="45"/>
      <c r="R349" s="45"/>
      <c r="S349" s="45"/>
      <c r="T349" s="45"/>
      <c r="U349" s="45"/>
      <c r="V349" s="45"/>
      <c r="W349" s="4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41" t="s">
        <v>21</v>
      </c>
      <c r="B350" s="41" t="s">
        <v>43</v>
      </c>
      <c r="C350" s="41" t="s">
        <v>23</v>
      </c>
      <c r="D350" s="41" t="s">
        <v>44</v>
      </c>
      <c r="E350" s="41" t="s">
        <v>52</v>
      </c>
      <c r="F350" s="41" t="s">
        <v>54</v>
      </c>
      <c r="G350" s="41" t="s">
        <v>25</v>
      </c>
      <c r="H350" s="41" t="s">
        <v>25</v>
      </c>
      <c r="I350" s="61">
        <v>44593</v>
      </c>
      <c r="J350" s="62">
        <f>EFEITO!$J$350*EFEITO!$Y$227</f>
        <v>0</v>
      </c>
      <c r="K350" s="62">
        <f ca="1">EFEITO!$L$350*EFEITO!$Z$227</f>
        <v>602.01703312519612</v>
      </c>
      <c r="L350" s="62">
        <f>EFEITO!$N$350*EFEITO!$AA$227</f>
        <v>139.35511025082971</v>
      </c>
      <c r="M350" s="62">
        <f>$J$350-EFEITO!$K$350*EFEITO!$Y$350</f>
        <v>0</v>
      </c>
      <c r="N350" s="62">
        <f ca="1">$K$350-EFEITO!$M$350*EFEITO!$Z$350</f>
        <v>375.65862867012237</v>
      </c>
      <c r="O350" s="62">
        <f>$L$350-EFEITO!$O$350*EFEITO!$AA$350</f>
        <v>86.95758879651774</v>
      </c>
      <c r="P350" s="45"/>
      <c r="Q350" s="45"/>
      <c r="R350" s="45"/>
      <c r="S350" s="45"/>
      <c r="T350" s="45"/>
      <c r="U350" s="45"/>
      <c r="V350" s="45"/>
      <c r="W350" s="45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41" t="s">
        <v>21</v>
      </c>
      <c r="B351" s="41" t="s">
        <v>43</v>
      </c>
      <c r="C351" s="41" t="s">
        <v>23</v>
      </c>
      <c r="D351" s="41" t="s">
        <v>44</v>
      </c>
      <c r="E351" s="41" t="s">
        <v>52</v>
      </c>
      <c r="F351" s="41" t="s">
        <v>54</v>
      </c>
      <c r="G351" s="41" t="s">
        <v>25</v>
      </c>
      <c r="H351" s="41" t="s">
        <v>25</v>
      </c>
      <c r="I351" s="61">
        <v>44621</v>
      </c>
      <c r="J351" s="62">
        <f>EFEITO!$J$351*EFEITO!$Y$227</f>
        <v>0</v>
      </c>
      <c r="K351" s="62">
        <f ca="1">EFEITO!$L$351*EFEITO!$Z$227</f>
        <v>517.02639315458021</v>
      </c>
      <c r="L351" s="62">
        <f>EFEITO!$N$351*EFEITO!$AA$227</f>
        <v>119.68144762718316</v>
      </c>
      <c r="M351" s="62">
        <f>$J$351-EFEITO!$K$351*EFEITO!$Y$351</f>
        <v>0</v>
      </c>
      <c r="N351" s="62">
        <f ca="1">$K$351-EFEITO!$M$351*EFEITO!$Z$351</f>
        <v>322.62446932845808</v>
      </c>
      <c r="O351" s="62">
        <f>$L$351-EFEITO!$O$351*EFEITO!$AA$351</f>
        <v>74.681223319362289</v>
      </c>
      <c r="P351" s="45"/>
      <c r="Q351" s="45"/>
      <c r="R351" s="45"/>
      <c r="S351" s="45"/>
      <c r="T351" s="45"/>
      <c r="U351" s="45"/>
      <c r="V351" s="45"/>
      <c r="W351" s="45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41" t="s">
        <v>21</v>
      </c>
      <c r="B352" s="41" t="s">
        <v>43</v>
      </c>
      <c r="C352" s="41" t="s">
        <v>23</v>
      </c>
      <c r="D352" s="41" t="s">
        <v>44</v>
      </c>
      <c r="E352" s="41" t="s">
        <v>52</v>
      </c>
      <c r="F352" s="41" t="s">
        <v>54</v>
      </c>
      <c r="G352" s="41" t="s">
        <v>25</v>
      </c>
      <c r="H352" s="41" t="s">
        <v>25</v>
      </c>
      <c r="I352" s="61">
        <v>44652</v>
      </c>
      <c r="J352" s="62">
        <f>EFEITO!$J$352*EFEITO!$Y$227</f>
        <v>0</v>
      </c>
      <c r="K352" s="62">
        <f ca="1">EFEITO!$L$352*EFEITO!$Z$227</f>
        <v>400.75447597255709</v>
      </c>
      <c r="L352" s="62">
        <f>EFEITO!$N$352*EFEITO!$AA$227</f>
        <v>92.766784176777819</v>
      </c>
      <c r="M352" s="62">
        <f>$J$352-EFEITO!$K$352*EFEITO!$Y$352</f>
        <v>0</v>
      </c>
      <c r="N352" s="62">
        <f ca="1">$K$352-EFEITO!$M$352*EFEITO!$Z$352</f>
        <v>250.07079300687565</v>
      </c>
      <c r="O352" s="62">
        <f>$L$352-EFEITO!$O$352*EFEITO!$AA$352</f>
        <v>57.886473326309364</v>
      </c>
      <c r="P352" s="45"/>
      <c r="Q352" s="45"/>
      <c r="R352" s="45"/>
      <c r="S352" s="45"/>
      <c r="T352" s="45"/>
      <c r="U352" s="45"/>
      <c r="V352" s="45"/>
      <c r="W352" s="45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41" t="s">
        <v>21</v>
      </c>
      <c r="B353" s="41" t="s">
        <v>43</v>
      </c>
      <c r="C353" s="41" t="s">
        <v>23</v>
      </c>
      <c r="D353" s="41" t="s">
        <v>44</v>
      </c>
      <c r="E353" s="41" t="s">
        <v>52</v>
      </c>
      <c r="F353" s="41" t="s">
        <v>54</v>
      </c>
      <c r="G353" s="41" t="s">
        <v>25</v>
      </c>
      <c r="H353" s="41" t="s">
        <v>25</v>
      </c>
      <c r="I353" s="61">
        <v>44682</v>
      </c>
      <c r="J353" s="62">
        <f>EFEITO!$J$353*EFEITO!$Y$227</f>
        <v>0</v>
      </c>
      <c r="K353" s="62">
        <f ca="1">EFEITO!$L$353*EFEITO!$Z$227</f>
        <v>224.28085547801425</v>
      </c>
      <c r="L353" s="62">
        <f>EFEITO!$N$353*EFEITO!$AA$227</f>
        <v>51.916609701289495</v>
      </c>
      <c r="M353" s="62">
        <f>$J$353-EFEITO!$K$353*EFEITO!$Y$353</f>
        <v>0</v>
      </c>
      <c r="N353" s="62">
        <f ca="1">$K$353-EFEITO!$M$353*EFEITO!$Z$353</f>
        <v>139.95125381828089</v>
      </c>
      <c r="O353" s="62">
        <f>$L$353-EFEITO!$O$353*EFEITO!$AA$353</f>
        <v>32.395964453604648</v>
      </c>
      <c r="P353" s="45"/>
      <c r="Q353" s="45"/>
      <c r="R353" s="45"/>
      <c r="S353" s="45"/>
      <c r="T353" s="45"/>
      <c r="U353" s="45"/>
      <c r="V353" s="45"/>
      <c r="W353" s="45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41" t="s">
        <v>21</v>
      </c>
      <c r="B354" s="41" t="s">
        <v>43</v>
      </c>
      <c r="C354" s="41" t="s">
        <v>23</v>
      </c>
      <c r="D354" s="41" t="s">
        <v>44</v>
      </c>
      <c r="E354" s="41" t="s">
        <v>52</v>
      </c>
      <c r="F354" s="41" t="s">
        <v>54</v>
      </c>
      <c r="G354" s="41" t="s">
        <v>25</v>
      </c>
      <c r="H354" s="41" t="s">
        <v>25</v>
      </c>
      <c r="I354" s="61">
        <v>44713</v>
      </c>
      <c r="J354" s="62">
        <f>EFEITO!$J$354*EFEITO!$Y$227</f>
        <v>0</v>
      </c>
      <c r="K354" s="62">
        <f ca="1">EFEITO!$L$354*EFEITO!$Z$227</f>
        <v>158.76723716733116</v>
      </c>
      <c r="L354" s="62">
        <f>EFEITO!$N$354*EFEITO!$AA$227</f>
        <v>36.751494762228617</v>
      </c>
      <c r="M354" s="62">
        <f>$J$354-EFEITO!$K$354*EFEITO!$Y$354</f>
        <v>0</v>
      </c>
      <c r="N354" s="62">
        <f ca="1">$K$354-EFEITO!$M$354*EFEITO!$Z$354</f>
        <v>99.070755992414647</v>
      </c>
      <c r="O354" s="62">
        <f>$L$354-EFEITO!$O$354*EFEITO!$AA$354</f>
        <v>22.932932731630657</v>
      </c>
      <c r="P354" s="45"/>
      <c r="Q354" s="45"/>
      <c r="R354" s="45"/>
      <c r="S354" s="45"/>
      <c r="T354" s="45"/>
      <c r="U354" s="45"/>
      <c r="V354" s="45"/>
      <c r="W354" s="45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41" t="s">
        <v>21</v>
      </c>
      <c r="B355" s="41" t="s">
        <v>43</v>
      </c>
      <c r="C355" s="41" t="s">
        <v>23</v>
      </c>
      <c r="D355" s="41" t="s">
        <v>44</v>
      </c>
      <c r="E355" s="41" t="s">
        <v>52</v>
      </c>
      <c r="F355" s="41" t="s">
        <v>54</v>
      </c>
      <c r="G355" s="41" t="s">
        <v>25</v>
      </c>
      <c r="H355" s="41" t="s">
        <v>25</v>
      </c>
      <c r="I355" s="61">
        <v>44743</v>
      </c>
      <c r="J355" s="62">
        <f>EFEITO!$J$355*EFEITO!$Y$227</f>
        <v>0</v>
      </c>
      <c r="K355" s="62">
        <f ca="1">EFEITO!$L$355*EFEITO!$Z$227</f>
        <v>129.84681106621878</v>
      </c>
      <c r="L355" s="62">
        <f>EFEITO!$N$355*EFEITO!$AA$227</f>
        <v>30.056984563904447</v>
      </c>
      <c r="M355" s="62">
        <f>$J$355-EFEITO!$K$355*EFEITO!$Y$355</f>
        <v>0</v>
      </c>
      <c r="N355" s="62">
        <f ca="1">$K$355-EFEITO!$M$355*EFEITO!$Z$355</f>
        <v>81.024410105320527</v>
      </c>
      <c r="O355" s="62">
        <f>$L$355-EFEITO!$O$355*EFEITO!$AA$355</f>
        <v>18.755558367876375</v>
      </c>
      <c r="P355" s="45"/>
      <c r="Q355" s="45"/>
      <c r="R355" s="45"/>
      <c r="S355" s="45"/>
      <c r="T355" s="45"/>
      <c r="U355" s="45"/>
      <c r="V355" s="45"/>
      <c r="W355" s="45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41" t="s">
        <v>55</v>
      </c>
      <c r="B356" s="41" t="s">
        <v>43</v>
      </c>
      <c r="C356" s="41" t="s">
        <v>23</v>
      </c>
      <c r="D356" s="41" t="s">
        <v>44</v>
      </c>
      <c r="E356" s="41" t="s">
        <v>52</v>
      </c>
      <c r="F356" s="41" t="s">
        <v>54</v>
      </c>
      <c r="G356" s="41" t="s">
        <v>25</v>
      </c>
      <c r="H356" s="41" t="s">
        <v>25</v>
      </c>
      <c r="I356" s="61">
        <v>44774</v>
      </c>
      <c r="J356" s="62">
        <f>EFEITO!$J$356*EFEITO!$Y$227</f>
        <v>0</v>
      </c>
      <c r="K356" s="62">
        <f ca="1">EFEITO!$L$356*EFEITO!$Z$227</f>
        <v>129.84681106621878</v>
      </c>
      <c r="L356" s="62">
        <f>EFEITO!$N$356*EFEITO!$AA$227</f>
        <v>30.056984563904447</v>
      </c>
      <c r="M356" s="62">
        <f>$J$356-EFEITO!$K$356*EFEITO!$Y$356</f>
        <v>0</v>
      </c>
      <c r="N356" s="62">
        <f ca="1">$K$356-EFEITO!$M$356*EFEITO!$Z$356</f>
        <v>81.024410105320527</v>
      </c>
      <c r="O356" s="62">
        <f>$L$356-EFEITO!$O$356*EFEITO!$AA$356</f>
        <v>18.755558367876375</v>
      </c>
      <c r="P356" s="45"/>
      <c r="Q356" s="45"/>
      <c r="R356" s="45"/>
      <c r="S356" s="45"/>
      <c r="T356" s="45"/>
      <c r="U356" s="45"/>
      <c r="V356" s="45"/>
      <c r="W356" s="45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41" t="s">
        <v>21</v>
      </c>
      <c r="B357" s="41" t="s">
        <v>43</v>
      </c>
      <c r="C357" s="41" t="s">
        <v>23</v>
      </c>
      <c r="D357" s="41" t="s">
        <v>44</v>
      </c>
      <c r="E357" s="41" t="s">
        <v>25</v>
      </c>
      <c r="F357" s="41" t="s">
        <v>25</v>
      </c>
      <c r="G357" s="41" t="s">
        <v>25</v>
      </c>
      <c r="H357" s="41" t="s">
        <v>25</v>
      </c>
      <c r="I357" s="61">
        <v>44440</v>
      </c>
      <c r="J357" s="62">
        <f>EFEITO!$J$357*EFEITO!$Y$227</f>
        <v>0</v>
      </c>
      <c r="K357" s="62">
        <f ca="1">EFEITO!$L$357*EFEITO!$Z$227</f>
        <v>144209.63900847529</v>
      </c>
      <c r="L357" s="62">
        <f>EFEITO!$N$357*EFEITO!$AA$227</f>
        <v>33381.696924643606</v>
      </c>
      <c r="M357" s="62">
        <f>$J$357-EFEITO!$K$357*EFEITO!$Y$357</f>
        <v>0</v>
      </c>
      <c r="N357" s="62">
        <f ca="1">$K$357-EFEITO!$M$357*EFEITO!$Z$357</f>
        <v>8652.5783405085094</v>
      </c>
      <c r="O357" s="62">
        <f>$L$357-EFEITO!$O$357*EFEITO!$AA$357</f>
        <v>2002.9018154786208</v>
      </c>
      <c r="P357" s="45"/>
      <c r="Q357" s="45"/>
      <c r="R357" s="45"/>
      <c r="S357" s="45"/>
      <c r="T357" s="45"/>
      <c r="U357" s="45"/>
      <c r="V357" s="45"/>
      <c r="W357" s="45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41" t="s">
        <v>28</v>
      </c>
      <c r="B358" s="41" t="s">
        <v>43</v>
      </c>
      <c r="C358" s="41" t="s">
        <v>23</v>
      </c>
      <c r="D358" s="41" t="s">
        <v>44</v>
      </c>
      <c r="E358" s="41" t="s">
        <v>25</v>
      </c>
      <c r="F358" s="41" t="s">
        <v>25</v>
      </c>
      <c r="G358" s="41" t="s">
        <v>25</v>
      </c>
      <c r="H358" s="41" t="s">
        <v>25</v>
      </c>
      <c r="I358" s="61">
        <v>44440</v>
      </c>
      <c r="J358" s="62">
        <f>EFEITO!$J$358*EFEITO!$Y$227</f>
        <v>0</v>
      </c>
      <c r="K358" s="62">
        <f ca="1">EFEITO!$L$358*EFEITO!$Z$227</f>
        <v>323.43660211039952</v>
      </c>
      <c r="L358" s="62">
        <f>EFEITO!$N$358*EFEITO!$AA$227</f>
        <v>74.869216095543806</v>
      </c>
      <c r="M358" s="62">
        <f>$J$358-EFEITO!$K$358*EFEITO!$Y$358</f>
        <v>0</v>
      </c>
      <c r="N358" s="62">
        <f ca="1">$K$358-EFEITO!$M$358*EFEITO!$Z$358</f>
        <v>19.406196126623968</v>
      </c>
      <c r="O358" s="62">
        <f>$L$358-EFEITO!$O$358*EFEITO!$AA$358</f>
        <v>4.4921529657326289</v>
      </c>
      <c r="P358" s="45"/>
      <c r="Q358" s="45"/>
      <c r="R358" s="45"/>
      <c r="S358" s="45"/>
      <c r="T358" s="45"/>
      <c r="U358" s="45"/>
      <c r="V358" s="45"/>
      <c r="W358" s="45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41" t="s">
        <v>21</v>
      </c>
      <c r="B359" s="41" t="s">
        <v>43</v>
      </c>
      <c r="C359" s="41" t="s">
        <v>23</v>
      </c>
      <c r="D359" s="41" t="s">
        <v>44</v>
      </c>
      <c r="E359" s="41" t="s">
        <v>25</v>
      </c>
      <c r="F359" s="41" t="s">
        <v>25</v>
      </c>
      <c r="G359" s="41" t="s">
        <v>25</v>
      </c>
      <c r="H359" s="41" t="s">
        <v>25</v>
      </c>
      <c r="I359" s="61">
        <v>44470</v>
      </c>
      <c r="J359" s="62">
        <f>EFEITO!$J$359*EFEITO!$Y$227</f>
        <v>0</v>
      </c>
      <c r="K359" s="62">
        <f ca="1">EFEITO!$L$359*EFEITO!$Z$227</f>
        <v>178992.64862922742</v>
      </c>
      <c r="L359" s="62">
        <f>EFEITO!$N$359*EFEITO!$AA$227</f>
        <v>41433.279976028054</v>
      </c>
      <c r="M359" s="62">
        <f>$J$359-EFEITO!$K$359*EFEITO!$Y$359</f>
        <v>0</v>
      </c>
      <c r="N359" s="62">
        <f ca="1">$K$359-EFEITO!$M$359*EFEITO!$Z$359</f>
        <v>10739.558917753631</v>
      </c>
      <c r="O359" s="62">
        <f>$L$359-EFEITO!$O$359*EFEITO!$AA$359</f>
        <v>2485.9967985616822</v>
      </c>
      <c r="P359" s="45"/>
      <c r="Q359" s="45"/>
      <c r="R359" s="45"/>
      <c r="S359" s="45"/>
      <c r="T359" s="45"/>
      <c r="U359" s="45"/>
      <c r="V359" s="45"/>
      <c r="W359" s="45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41" t="s">
        <v>27</v>
      </c>
      <c r="B360" s="41" t="s">
        <v>43</v>
      </c>
      <c r="C360" s="41" t="s">
        <v>23</v>
      </c>
      <c r="D360" s="41" t="s">
        <v>44</v>
      </c>
      <c r="E360" s="41" t="s">
        <v>25</v>
      </c>
      <c r="F360" s="41" t="s">
        <v>25</v>
      </c>
      <c r="G360" s="41" t="s">
        <v>25</v>
      </c>
      <c r="H360" s="41" t="s">
        <v>25</v>
      </c>
      <c r="I360" s="61">
        <v>44470</v>
      </c>
      <c r="J360" s="62">
        <f>EFEITO!$J$360*EFEITO!$Y$227</f>
        <v>0</v>
      </c>
      <c r="K360" s="62">
        <f ca="1">EFEITO!$L$360*EFEITO!$Z$227</f>
        <v>-590.21277757372172</v>
      </c>
      <c r="L360" s="62">
        <f>EFEITO!$N$360*EFEITO!$AA$227</f>
        <v>-136.62265710865657</v>
      </c>
      <c r="M360" s="62">
        <f>$J$360-EFEITO!$K$360*EFEITO!$Y$360</f>
        <v>0</v>
      </c>
      <c r="N360" s="62">
        <f ca="1">$K$360-EFEITO!$M$360*EFEITO!$Z$360</f>
        <v>-35.412766654423308</v>
      </c>
      <c r="O360" s="62">
        <f>$L$360-EFEITO!$O$360*EFEITO!$AA$360</f>
        <v>-8.1973594265193981</v>
      </c>
      <c r="P360" s="45"/>
      <c r="Q360" s="45"/>
      <c r="R360" s="45"/>
      <c r="S360" s="45"/>
      <c r="T360" s="45"/>
      <c r="U360" s="45"/>
      <c r="V360" s="45"/>
      <c r="W360" s="4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41" t="s">
        <v>28</v>
      </c>
      <c r="B361" s="41" t="s">
        <v>43</v>
      </c>
      <c r="C361" s="41" t="s">
        <v>23</v>
      </c>
      <c r="D361" s="41" t="s">
        <v>44</v>
      </c>
      <c r="E361" s="41" t="s">
        <v>25</v>
      </c>
      <c r="F361" s="41" t="s">
        <v>25</v>
      </c>
      <c r="G361" s="41" t="s">
        <v>25</v>
      </c>
      <c r="H361" s="41" t="s">
        <v>25</v>
      </c>
      <c r="I361" s="61">
        <v>44470</v>
      </c>
      <c r="J361" s="62">
        <f>EFEITO!$J$361*EFEITO!$Y$227</f>
        <v>0</v>
      </c>
      <c r="K361" s="62">
        <f ca="1">EFEITO!$L$361*EFEITO!$Z$227</f>
        <v>334.65064488430016</v>
      </c>
      <c r="L361" s="62">
        <f>EFEITO!$N$361*EFEITO!$AA$227</f>
        <v>77.465046580608274</v>
      </c>
      <c r="M361" s="62">
        <f>$J$361-EFEITO!$K$361*EFEITO!$Y$361</f>
        <v>0</v>
      </c>
      <c r="N361" s="62">
        <f ca="1">$K$361-EFEITO!$M$361*EFEITO!$Z$361</f>
        <v>20.07903869305801</v>
      </c>
      <c r="O361" s="62">
        <f>$L$361-EFEITO!$O$361*EFEITO!$AA$361</f>
        <v>4.6479027948365115</v>
      </c>
      <c r="P361" s="45"/>
      <c r="Q361" s="45"/>
      <c r="R361" s="45"/>
      <c r="S361" s="45"/>
      <c r="T361" s="45"/>
      <c r="U361" s="45"/>
      <c r="V361" s="45"/>
      <c r="W361" s="4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41" t="s">
        <v>21</v>
      </c>
      <c r="B362" s="41" t="s">
        <v>43</v>
      </c>
      <c r="C362" s="41" t="s">
        <v>23</v>
      </c>
      <c r="D362" s="41" t="s">
        <v>44</v>
      </c>
      <c r="E362" s="41" t="s">
        <v>25</v>
      </c>
      <c r="F362" s="41" t="s">
        <v>25</v>
      </c>
      <c r="G362" s="41" t="s">
        <v>25</v>
      </c>
      <c r="H362" s="41" t="s">
        <v>25</v>
      </c>
      <c r="I362" s="61">
        <v>44501</v>
      </c>
      <c r="J362" s="62">
        <f>EFEITO!$J$362*EFEITO!$Y$227</f>
        <v>0</v>
      </c>
      <c r="K362" s="62">
        <f ca="1">EFEITO!$L$362*EFEITO!$Z$227</f>
        <v>197757.28346662875</v>
      </c>
      <c r="L362" s="62">
        <f>EFEITO!$N$362*EFEITO!$AA$227</f>
        <v>45776.924113483576</v>
      </c>
      <c r="M362" s="62">
        <f>$J$362-EFEITO!$K$362*EFEITO!$Y$362</f>
        <v>0</v>
      </c>
      <c r="N362" s="62">
        <f ca="1">$K$362-EFEITO!$M$362*EFEITO!$Z$362</f>
        <v>11865.437007997709</v>
      </c>
      <c r="O362" s="62">
        <f>$L$362-EFEITO!$O$362*EFEITO!$AA$362</f>
        <v>2746.6154468090172</v>
      </c>
      <c r="P362" s="45"/>
      <c r="Q362" s="45"/>
      <c r="R362" s="45"/>
      <c r="S362" s="45"/>
      <c r="T362" s="45"/>
      <c r="U362" s="45"/>
      <c r="V362" s="45"/>
      <c r="W362" s="4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41" t="s">
        <v>27</v>
      </c>
      <c r="B363" s="41" t="s">
        <v>43</v>
      </c>
      <c r="C363" s="41" t="s">
        <v>23</v>
      </c>
      <c r="D363" s="41" t="s">
        <v>44</v>
      </c>
      <c r="E363" s="41" t="s">
        <v>25</v>
      </c>
      <c r="F363" s="41" t="s">
        <v>25</v>
      </c>
      <c r="G363" s="41" t="s">
        <v>25</v>
      </c>
      <c r="H363" s="41" t="s">
        <v>25</v>
      </c>
      <c r="I363" s="61">
        <v>44501</v>
      </c>
      <c r="J363" s="62">
        <f>EFEITO!$J$363*EFEITO!$Y$227</f>
        <v>0</v>
      </c>
      <c r="K363" s="62">
        <f ca="1">EFEITO!$L$363*EFEITO!$Z$227</f>
        <v>-927.8144863458906</v>
      </c>
      <c r="L363" s="62">
        <f>EFEITO!$N$363*EFEITO!$AA$227</f>
        <v>-214.77081697480813</v>
      </c>
      <c r="M363" s="62">
        <f>$J$363-EFEITO!$K$363*EFEITO!$Y$363</f>
        <v>0</v>
      </c>
      <c r="N363" s="62">
        <f ca="1">$K$363-EFEITO!$M$363*EFEITO!$Z$363</f>
        <v>-55.668869180753404</v>
      </c>
      <c r="O363" s="62">
        <f>$L$363-EFEITO!$O$363*EFEITO!$AA$363</f>
        <v>-12.886249018488485</v>
      </c>
      <c r="P363" s="45"/>
      <c r="Q363" s="45"/>
      <c r="R363" s="45"/>
      <c r="S363" s="45"/>
      <c r="T363" s="45"/>
      <c r="U363" s="45"/>
      <c r="V363" s="45"/>
      <c r="W363" s="4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41" t="s">
        <v>28</v>
      </c>
      <c r="B364" s="41" t="s">
        <v>43</v>
      </c>
      <c r="C364" s="41" t="s">
        <v>23</v>
      </c>
      <c r="D364" s="41" t="s">
        <v>44</v>
      </c>
      <c r="E364" s="41" t="s">
        <v>25</v>
      </c>
      <c r="F364" s="41" t="s">
        <v>25</v>
      </c>
      <c r="G364" s="41" t="s">
        <v>25</v>
      </c>
      <c r="H364" s="41" t="s">
        <v>25</v>
      </c>
      <c r="I364" s="61">
        <v>44501</v>
      </c>
      <c r="J364" s="62">
        <f>EFEITO!$J$364*EFEITO!$Y$227</f>
        <v>0</v>
      </c>
      <c r="K364" s="62">
        <f ca="1">EFEITO!$L$364*EFEITO!$Z$227</f>
        <v>872.92469803153449</v>
      </c>
      <c r="L364" s="62">
        <f>EFEITO!$N$364*EFEITO!$AA$227</f>
        <v>202.06490986370306</v>
      </c>
      <c r="M364" s="62">
        <f>$J$364-EFEITO!$K$364*EFEITO!$Y$364</f>
        <v>0</v>
      </c>
      <c r="N364" s="62">
        <f ca="1">$K$364-EFEITO!$M$364*EFEITO!$Z$364</f>
        <v>52.375481881892028</v>
      </c>
      <c r="O364" s="62">
        <f>$L$364-EFEITO!$O$364*EFEITO!$AA$364</f>
        <v>12.123894591822165</v>
      </c>
      <c r="P364" s="45"/>
      <c r="Q364" s="45"/>
      <c r="R364" s="45"/>
      <c r="S364" s="45"/>
      <c r="T364" s="45"/>
      <c r="U364" s="45"/>
      <c r="V364" s="45"/>
      <c r="W364" s="45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41" t="s">
        <v>21</v>
      </c>
      <c r="B365" s="41" t="s">
        <v>43</v>
      </c>
      <c r="C365" s="41" t="s">
        <v>23</v>
      </c>
      <c r="D365" s="41" t="s">
        <v>44</v>
      </c>
      <c r="E365" s="41" t="s">
        <v>25</v>
      </c>
      <c r="F365" s="41" t="s">
        <v>25</v>
      </c>
      <c r="G365" s="41" t="s">
        <v>25</v>
      </c>
      <c r="H365" s="41" t="s">
        <v>25</v>
      </c>
      <c r="I365" s="61">
        <v>44531</v>
      </c>
      <c r="J365" s="62">
        <f>EFEITO!$J$365*EFEITO!$Y$227</f>
        <v>0</v>
      </c>
      <c r="K365" s="62">
        <f ca="1">EFEITO!$L$365*EFEITO!$Z$227</f>
        <v>188342.79945155035</v>
      </c>
      <c r="L365" s="62">
        <f>EFEITO!$N$365*EFEITO!$AA$227</f>
        <v>43597.656109943397</v>
      </c>
      <c r="M365" s="62">
        <f>$J$365-EFEITO!$K$365*EFEITO!$Y$365</f>
        <v>0</v>
      </c>
      <c r="N365" s="62">
        <f ca="1">$K$365-EFEITO!$M$365*EFEITO!$Z$365</f>
        <v>11300.567967093026</v>
      </c>
      <c r="O365" s="62">
        <f>$L$365-EFEITO!$O$365*EFEITO!$AA$365</f>
        <v>2615.8593665966036</v>
      </c>
      <c r="P365" s="45"/>
      <c r="Q365" s="45"/>
      <c r="R365" s="45"/>
      <c r="S365" s="45"/>
      <c r="T365" s="45"/>
      <c r="U365" s="45"/>
      <c r="V365" s="45"/>
      <c r="W365" s="4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41" t="s">
        <v>27</v>
      </c>
      <c r="B366" s="41" t="s">
        <v>43</v>
      </c>
      <c r="C366" s="41" t="s">
        <v>23</v>
      </c>
      <c r="D366" s="41" t="s">
        <v>44</v>
      </c>
      <c r="E366" s="41" t="s">
        <v>25</v>
      </c>
      <c r="F366" s="41" t="s">
        <v>25</v>
      </c>
      <c r="G366" s="41" t="s">
        <v>25</v>
      </c>
      <c r="H366" s="41" t="s">
        <v>25</v>
      </c>
      <c r="I366" s="61">
        <v>44531</v>
      </c>
      <c r="J366" s="62">
        <f>EFEITO!$J$366*EFEITO!$Y$227</f>
        <v>0</v>
      </c>
      <c r="K366" s="62">
        <f ca="1">EFEITO!$L$366*EFEITO!$Z$227</f>
        <v>-79.088512194878717</v>
      </c>
      <c r="L366" s="62">
        <f>EFEITO!$N$366*EFEITO!$AA$227</f>
        <v>-18.307436052559982</v>
      </c>
      <c r="M366" s="62">
        <f>$J$366-EFEITO!$K$366*EFEITO!$Y$366</f>
        <v>0</v>
      </c>
      <c r="N366" s="62">
        <f ca="1">$K$366-EFEITO!$M$366*EFEITO!$Z$366</f>
        <v>-4.7453107316927259</v>
      </c>
      <c r="O366" s="62">
        <f>$L$366-EFEITO!$O$366*EFEITO!$AA$366</f>
        <v>-1.0984461631536</v>
      </c>
      <c r="P366" s="45"/>
      <c r="Q366" s="45"/>
      <c r="R366" s="45"/>
      <c r="S366" s="45"/>
      <c r="T366" s="45"/>
      <c r="U366" s="45"/>
      <c r="V366" s="45"/>
      <c r="W366" s="45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41" t="s">
        <v>28</v>
      </c>
      <c r="B367" s="41" t="s">
        <v>43</v>
      </c>
      <c r="C367" s="41" t="s">
        <v>23</v>
      </c>
      <c r="D367" s="41" t="s">
        <v>44</v>
      </c>
      <c r="E367" s="41" t="s">
        <v>25</v>
      </c>
      <c r="F367" s="41" t="s">
        <v>25</v>
      </c>
      <c r="G367" s="41" t="s">
        <v>25</v>
      </c>
      <c r="H367" s="41" t="s">
        <v>25</v>
      </c>
      <c r="I367" s="61">
        <v>44531</v>
      </c>
      <c r="J367" s="62">
        <f>EFEITO!$J$367*EFEITO!$Y$227</f>
        <v>0</v>
      </c>
      <c r="K367" s="62">
        <f ca="1">EFEITO!$L$367*EFEITO!$Z$227</f>
        <v>1207.5753429158344</v>
      </c>
      <c r="L367" s="62">
        <f>EFEITO!$N$367*EFEITO!$AA$227</f>
        <v>279.52995644431132</v>
      </c>
      <c r="M367" s="62">
        <f>$J$367-EFEITO!$K$367*EFEITO!$Y$367</f>
        <v>0</v>
      </c>
      <c r="N367" s="62">
        <f ca="1">$K$367-EFEITO!$M$367*EFEITO!$Z$367</f>
        <v>72.454520574950038</v>
      </c>
      <c r="O367" s="62">
        <f>$L$367-EFEITO!$O$367*EFEITO!$AA$367</f>
        <v>16.771797386658704</v>
      </c>
      <c r="P367" s="45"/>
      <c r="Q367" s="45"/>
      <c r="R367" s="45"/>
      <c r="S367" s="45"/>
      <c r="T367" s="45"/>
      <c r="U367" s="45"/>
      <c r="V367" s="45"/>
      <c r="W367" s="4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41" t="s">
        <v>21</v>
      </c>
      <c r="B368" s="41" t="s">
        <v>43</v>
      </c>
      <c r="C368" s="41" t="s">
        <v>23</v>
      </c>
      <c r="D368" s="41" t="s">
        <v>44</v>
      </c>
      <c r="E368" s="41" t="s">
        <v>25</v>
      </c>
      <c r="F368" s="41" t="s">
        <v>25</v>
      </c>
      <c r="G368" s="41" t="s">
        <v>25</v>
      </c>
      <c r="H368" s="41" t="s">
        <v>25</v>
      </c>
      <c r="I368" s="61">
        <v>44562</v>
      </c>
      <c r="J368" s="62">
        <f>EFEITO!$J$368*EFEITO!$Y$227</f>
        <v>0</v>
      </c>
      <c r="K368" s="62">
        <f ca="1">EFEITO!$L$368*EFEITO!$Z$227</f>
        <v>187977.45774223219</v>
      </c>
      <c r="L368" s="62">
        <f>EFEITO!$N$368*EFEITO!$AA$227</f>
        <v>43513.086685193135</v>
      </c>
      <c r="M368" s="62">
        <f>$J$368-EFEITO!$K$368*EFEITO!$Y$368</f>
        <v>0</v>
      </c>
      <c r="N368" s="62">
        <f ca="1">$K$368-EFEITO!$M$368*EFEITO!$Z$368</f>
        <v>11278.647464533919</v>
      </c>
      <c r="O368" s="62">
        <f>$L$368-EFEITO!$O$368*EFEITO!$AA$368</f>
        <v>2610.7852011115901</v>
      </c>
      <c r="P368" s="45"/>
      <c r="Q368" s="45"/>
      <c r="R368" s="45"/>
      <c r="S368" s="45"/>
      <c r="T368" s="45"/>
      <c r="U368" s="45"/>
      <c r="V368" s="45"/>
      <c r="W368" s="45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41" t="s">
        <v>28</v>
      </c>
      <c r="B369" s="41" t="s">
        <v>43</v>
      </c>
      <c r="C369" s="41" t="s">
        <v>23</v>
      </c>
      <c r="D369" s="41" t="s">
        <v>44</v>
      </c>
      <c r="E369" s="41" t="s">
        <v>25</v>
      </c>
      <c r="F369" s="41" t="s">
        <v>25</v>
      </c>
      <c r="G369" s="41" t="s">
        <v>25</v>
      </c>
      <c r="H369" s="41" t="s">
        <v>25</v>
      </c>
      <c r="I369" s="61">
        <v>44562</v>
      </c>
      <c r="J369" s="62">
        <f>EFEITO!$J$369*EFEITO!$Y$227</f>
        <v>0</v>
      </c>
      <c r="K369" s="62">
        <f ca="1">EFEITO!$L$369*EFEITO!$Z$227</f>
        <v>1875.6962071292876</v>
      </c>
      <c r="L369" s="62">
        <f>EFEITO!$N$369*EFEITO!$AA$227</f>
        <v>434.18680429131058</v>
      </c>
      <c r="M369" s="62">
        <f>$J$369-EFEITO!$K$369*EFEITO!$Y$369</f>
        <v>0</v>
      </c>
      <c r="N369" s="62">
        <f ca="1">$K$369-EFEITO!$M$369*EFEITO!$Z$369</f>
        <v>112.54177242775722</v>
      </c>
      <c r="O369" s="62">
        <f>$L$369-EFEITO!$O$369*EFEITO!$AA$369</f>
        <v>26.051208257478663</v>
      </c>
      <c r="P369" s="45"/>
      <c r="Q369" s="45"/>
      <c r="R369" s="45"/>
      <c r="S369" s="45"/>
      <c r="T369" s="45"/>
      <c r="U369" s="45"/>
      <c r="V369" s="45"/>
      <c r="W369" s="4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41" t="s">
        <v>21</v>
      </c>
      <c r="B370" s="41" t="s">
        <v>43</v>
      </c>
      <c r="C370" s="41" t="s">
        <v>23</v>
      </c>
      <c r="D370" s="41" t="s">
        <v>44</v>
      </c>
      <c r="E370" s="41" t="s">
        <v>25</v>
      </c>
      <c r="F370" s="41" t="s">
        <v>25</v>
      </c>
      <c r="G370" s="41" t="s">
        <v>25</v>
      </c>
      <c r="H370" s="41" t="s">
        <v>25</v>
      </c>
      <c r="I370" s="61">
        <v>44593</v>
      </c>
      <c r="J370" s="62">
        <f>EFEITO!$J$370*EFEITO!$Y$227</f>
        <v>0</v>
      </c>
      <c r="K370" s="62">
        <f ca="1">EFEITO!$L$370*EFEITO!$Z$227</f>
        <v>158736.54610289729</v>
      </c>
      <c r="L370" s="62">
        <f>EFEITO!$N$370*EFEITO!$AA$227</f>
        <v>36744.390384058963</v>
      </c>
      <c r="M370" s="62">
        <f>$J$370-EFEITO!$K$370*EFEITO!$Y$370</f>
        <v>0</v>
      </c>
      <c r="N370" s="62">
        <f ca="1">$K$370-EFEITO!$M$370*EFEITO!$Z$370</f>
        <v>9524.19276617383</v>
      </c>
      <c r="O370" s="62">
        <f>$L$370-EFEITO!$O$370*EFEITO!$AA$370</f>
        <v>2204.6634230435375</v>
      </c>
      <c r="P370" s="45"/>
      <c r="Q370" s="45"/>
      <c r="R370" s="45"/>
      <c r="S370" s="45"/>
      <c r="T370" s="45"/>
      <c r="U370" s="45"/>
      <c r="V370" s="45"/>
      <c r="W370" s="45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41" t="s">
        <v>27</v>
      </c>
      <c r="B371" s="41" t="s">
        <v>43</v>
      </c>
      <c r="C371" s="41" t="s">
        <v>23</v>
      </c>
      <c r="D371" s="41" t="s">
        <v>44</v>
      </c>
      <c r="E371" s="41" t="s">
        <v>25</v>
      </c>
      <c r="F371" s="41" t="s">
        <v>25</v>
      </c>
      <c r="G371" s="41" t="s">
        <v>25</v>
      </c>
      <c r="H371" s="41" t="s">
        <v>25</v>
      </c>
      <c r="I371" s="61">
        <v>44593</v>
      </c>
      <c r="J371" s="62">
        <f>EFEITO!$J$371*EFEITO!$Y$227</f>
        <v>0</v>
      </c>
      <c r="K371" s="62">
        <f ca="1">EFEITO!$L$371*EFEITO!$Z$227</f>
        <v>-78.498299417304992</v>
      </c>
      <c r="L371" s="62">
        <f>EFEITO!$N$371*EFEITO!$AA$227</f>
        <v>-18.170813395451326</v>
      </c>
      <c r="M371" s="62">
        <f>$J$371-EFEITO!$K$371*EFEITO!$Y$371</f>
        <v>0</v>
      </c>
      <c r="N371" s="62">
        <f ca="1">$K$371-EFEITO!$M$371*EFEITO!$Z$371</f>
        <v>-4.7098979650382944</v>
      </c>
      <c r="O371" s="62">
        <f>$L$371-EFEITO!$O$371*EFEITO!$AA$371</f>
        <v>-1.0902488037270821</v>
      </c>
      <c r="P371" s="45"/>
      <c r="Q371" s="45"/>
      <c r="R371" s="45"/>
      <c r="S371" s="45"/>
      <c r="T371" s="45"/>
      <c r="U371" s="45"/>
      <c r="V371" s="45"/>
      <c r="W371" s="45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41" t="s">
        <v>28</v>
      </c>
      <c r="B372" s="41" t="s">
        <v>43</v>
      </c>
      <c r="C372" s="41" t="s">
        <v>23</v>
      </c>
      <c r="D372" s="41" t="s">
        <v>44</v>
      </c>
      <c r="E372" s="41" t="s">
        <v>25</v>
      </c>
      <c r="F372" s="41" t="s">
        <v>25</v>
      </c>
      <c r="G372" s="41" t="s">
        <v>25</v>
      </c>
      <c r="H372" s="41" t="s">
        <v>25</v>
      </c>
      <c r="I372" s="61">
        <v>44593</v>
      </c>
      <c r="J372" s="62">
        <f>EFEITO!$J$372*EFEITO!$Y$227</f>
        <v>0</v>
      </c>
      <c r="K372" s="62">
        <f ca="1">EFEITO!$L$372*EFEITO!$Z$227</f>
        <v>731.86384419141496</v>
      </c>
      <c r="L372" s="62">
        <f>EFEITO!$N$372*EFEITO!$AA$227</f>
        <v>169.41209481473413</v>
      </c>
      <c r="M372" s="62">
        <f>$J$372-EFEITO!$K$372*EFEITO!$Y$372</f>
        <v>0</v>
      </c>
      <c r="N372" s="62">
        <f ca="1">$K$372-EFEITO!$M$372*EFEITO!$Z$372</f>
        <v>43.911830651484934</v>
      </c>
      <c r="O372" s="62">
        <f>$L$372-EFEITO!$O$372*EFEITO!$AA$372</f>
        <v>10.164725688884033</v>
      </c>
      <c r="P372" s="45"/>
      <c r="Q372" s="45"/>
      <c r="R372" s="45"/>
      <c r="S372" s="45"/>
      <c r="T372" s="45"/>
      <c r="U372" s="45"/>
      <c r="V372" s="45"/>
      <c r="W372" s="4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41" t="s">
        <v>21</v>
      </c>
      <c r="B373" s="41" t="s">
        <v>43</v>
      </c>
      <c r="C373" s="41" t="s">
        <v>23</v>
      </c>
      <c r="D373" s="41" t="s">
        <v>44</v>
      </c>
      <c r="E373" s="41" t="s">
        <v>25</v>
      </c>
      <c r="F373" s="41" t="s">
        <v>25</v>
      </c>
      <c r="G373" s="41" t="s">
        <v>25</v>
      </c>
      <c r="H373" s="41" t="s">
        <v>25</v>
      </c>
      <c r="I373" s="61">
        <v>44621</v>
      </c>
      <c r="J373" s="62">
        <f>EFEITO!$J$373*EFEITO!$Y$227</f>
        <v>0</v>
      </c>
      <c r="K373" s="62">
        <f ca="1">EFEITO!$L$373*EFEITO!$Z$227</f>
        <v>145974.37521342072</v>
      </c>
      <c r="L373" s="62">
        <f>EFEITO!$N$373*EFEITO!$AA$227</f>
        <v>33790.198669398487</v>
      </c>
      <c r="M373" s="62">
        <f>$J$373-EFEITO!$K$373*EFEITO!$Y$373</f>
        <v>0</v>
      </c>
      <c r="N373" s="62">
        <f ca="1">$K$373-EFEITO!$M$373*EFEITO!$Z$373</f>
        <v>8758.462512805243</v>
      </c>
      <c r="O373" s="62">
        <f>$L$373-EFEITO!$O$373*EFEITO!$AA$373</f>
        <v>2027.4119201639114</v>
      </c>
      <c r="P373" s="45"/>
      <c r="Q373" s="45"/>
      <c r="R373" s="45"/>
      <c r="S373" s="45"/>
      <c r="T373" s="45"/>
      <c r="U373" s="45"/>
      <c r="V373" s="45"/>
      <c r="W373" s="4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41" t="s">
        <v>27</v>
      </c>
      <c r="B374" s="41" t="s">
        <v>43</v>
      </c>
      <c r="C374" s="41" t="s">
        <v>23</v>
      </c>
      <c r="D374" s="41" t="s">
        <v>44</v>
      </c>
      <c r="E374" s="41" t="s">
        <v>25</v>
      </c>
      <c r="F374" s="41" t="s">
        <v>25</v>
      </c>
      <c r="G374" s="41" t="s">
        <v>25</v>
      </c>
      <c r="H374" s="41" t="s">
        <v>25</v>
      </c>
      <c r="I374" s="61">
        <v>44621</v>
      </c>
      <c r="J374" s="62">
        <f>EFEITO!$J$374*EFEITO!$Y$227</f>
        <v>0</v>
      </c>
      <c r="K374" s="62">
        <f ca="1">EFEITO!$L$374*EFEITO!$Z$227</f>
        <v>-161.12808827762603</v>
      </c>
      <c r="L374" s="62">
        <f>EFEITO!$N$374*EFEITO!$AA$227</f>
        <v>-37.297985390663243</v>
      </c>
      <c r="M374" s="62">
        <f>$J$374-EFEITO!$K$374*EFEITO!$Y$374</f>
        <v>0</v>
      </c>
      <c r="N374" s="62">
        <f ca="1">$K$374-EFEITO!$M$374*EFEITO!$Z$374</f>
        <v>-9.6676852966575666</v>
      </c>
      <c r="O374" s="62">
        <f>$L$374-EFEITO!$O$374*EFEITO!$AA$374</f>
        <v>-2.2378791234397895</v>
      </c>
      <c r="P374" s="45"/>
      <c r="Q374" s="45"/>
      <c r="R374" s="45"/>
      <c r="S374" s="45"/>
      <c r="T374" s="45"/>
      <c r="U374" s="45"/>
      <c r="V374" s="45"/>
      <c r="W374" s="45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41" t="s">
        <v>28</v>
      </c>
      <c r="B375" s="41" t="s">
        <v>43</v>
      </c>
      <c r="C375" s="41" t="s">
        <v>23</v>
      </c>
      <c r="D375" s="41" t="s">
        <v>44</v>
      </c>
      <c r="E375" s="41" t="s">
        <v>25</v>
      </c>
      <c r="F375" s="41" t="s">
        <v>25</v>
      </c>
      <c r="G375" s="41" t="s">
        <v>25</v>
      </c>
      <c r="H375" s="41" t="s">
        <v>25</v>
      </c>
      <c r="I375" s="61">
        <v>44621</v>
      </c>
      <c r="J375" s="62">
        <f>EFEITO!$J$375*EFEITO!$Y$227</f>
        <v>0</v>
      </c>
      <c r="K375" s="62">
        <f ca="1">EFEITO!$L$375*EFEITO!$Z$227</f>
        <v>2900.3055889972684</v>
      </c>
      <c r="L375" s="62">
        <f>EFEITO!$N$375*EFEITO!$AA$227</f>
        <v>671.36373703193829</v>
      </c>
      <c r="M375" s="62">
        <f>$J$375-EFEITO!$K$375*EFEITO!$Y$375</f>
        <v>0</v>
      </c>
      <c r="N375" s="62">
        <f ca="1">$K$375-EFEITO!$M$375*EFEITO!$Z$375</f>
        <v>174.01833533983609</v>
      </c>
      <c r="O375" s="62">
        <f>$L$375-EFEITO!$O$375*EFEITO!$AA$375</f>
        <v>40.281824221916281</v>
      </c>
      <c r="P375" s="45"/>
      <c r="Q375" s="45"/>
      <c r="R375" s="45"/>
      <c r="S375" s="45"/>
      <c r="T375" s="45"/>
      <c r="U375" s="45"/>
      <c r="V375" s="45"/>
      <c r="W375" s="45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41" t="s">
        <v>21</v>
      </c>
      <c r="B376" s="41" t="s">
        <v>43</v>
      </c>
      <c r="C376" s="41" t="s">
        <v>23</v>
      </c>
      <c r="D376" s="41" t="s">
        <v>44</v>
      </c>
      <c r="E376" s="41" t="s">
        <v>25</v>
      </c>
      <c r="F376" s="41" t="s">
        <v>25</v>
      </c>
      <c r="G376" s="41" t="s">
        <v>25</v>
      </c>
      <c r="H376" s="41" t="s">
        <v>25</v>
      </c>
      <c r="I376" s="61">
        <v>44652</v>
      </c>
      <c r="J376" s="62">
        <f>EFEITO!$J$376*EFEITO!$Y$227</f>
        <v>0</v>
      </c>
      <c r="K376" s="62">
        <f ca="1">EFEITO!$L$376*EFEITO!$Z$227</f>
        <v>133778.21837763733</v>
      </c>
      <c r="L376" s="62">
        <f>EFEITO!$N$376*EFEITO!$AA$227</f>
        <v>30967.028082905206</v>
      </c>
      <c r="M376" s="62">
        <f>$J$376-EFEITO!$K$376*EFEITO!$Y$376</f>
        <v>0</v>
      </c>
      <c r="N376" s="62">
        <f ca="1">$K$376-EFEITO!$M$376*EFEITO!$Z$376</f>
        <v>8026.6931026582315</v>
      </c>
      <c r="O376" s="62">
        <f>$L$376-EFEITO!$O$376*EFEITO!$AA$376</f>
        <v>1858.0216849743119</v>
      </c>
      <c r="P376" s="45"/>
      <c r="Q376" s="45"/>
      <c r="R376" s="45"/>
      <c r="S376" s="45"/>
      <c r="T376" s="45"/>
      <c r="U376" s="45"/>
      <c r="V376" s="45"/>
      <c r="W376" s="45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41" t="s">
        <v>27</v>
      </c>
      <c r="B377" s="41" t="s">
        <v>43</v>
      </c>
      <c r="C377" s="41" t="s">
        <v>23</v>
      </c>
      <c r="D377" s="41" t="s">
        <v>44</v>
      </c>
      <c r="E377" s="41" t="s">
        <v>25</v>
      </c>
      <c r="F377" s="41" t="s">
        <v>25</v>
      </c>
      <c r="G377" s="41" t="s">
        <v>25</v>
      </c>
      <c r="H377" s="41" t="s">
        <v>25</v>
      </c>
      <c r="I377" s="61">
        <v>44652</v>
      </c>
      <c r="J377" s="62">
        <f>EFEITO!$J$377*EFEITO!$Y$227</f>
        <v>0</v>
      </c>
      <c r="K377" s="62">
        <f ca="1">EFEITO!$L$377*EFEITO!$Z$227</f>
        <v>-325.79745322069442</v>
      </c>
      <c r="L377" s="62">
        <f>EFEITO!$N$377*EFEITO!$AA$227</f>
        <v>-75.415706723978431</v>
      </c>
      <c r="M377" s="62">
        <f>$J$377-EFEITO!$K$377*EFEITO!$Y$377</f>
        <v>0</v>
      </c>
      <c r="N377" s="62">
        <f ca="1">$K$377-EFEITO!$M$377*EFEITO!$Z$377</f>
        <v>-19.547847193241694</v>
      </c>
      <c r="O377" s="62">
        <f>$L$377-EFEITO!$O$377*EFEITO!$AA$377</f>
        <v>-4.5249424034387005</v>
      </c>
      <c r="P377" s="45"/>
      <c r="Q377" s="45"/>
      <c r="R377" s="45"/>
      <c r="S377" s="45"/>
      <c r="T377" s="45"/>
      <c r="U377" s="45"/>
      <c r="V377" s="45"/>
      <c r="W377" s="4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41" t="s">
        <v>28</v>
      </c>
      <c r="B378" s="41" t="s">
        <v>43</v>
      </c>
      <c r="C378" s="41" t="s">
        <v>23</v>
      </c>
      <c r="D378" s="41" t="s">
        <v>44</v>
      </c>
      <c r="E378" s="41" t="s">
        <v>25</v>
      </c>
      <c r="F378" s="41" t="s">
        <v>25</v>
      </c>
      <c r="G378" s="41" t="s">
        <v>25</v>
      </c>
      <c r="H378" s="41" t="s">
        <v>25</v>
      </c>
      <c r="I378" s="61">
        <v>44652</v>
      </c>
      <c r="J378" s="62">
        <f>EFEITO!$J$378*EFEITO!$Y$227</f>
        <v>0</v>
      </c>
      <c r="K378" s="62">
        <f ca="1">EFEITO!$L$378*EFEITO!$Z$227</f>
        <v>2704.3549468427927</v>
      </c>
      <c r="L378" s="62">
        <f>EFEITO!$N$378*EFEITO!$AA$227</f>
        <v>626.00501487186443</v>
      </c>
      <c r="M378" s="62">
        <f>$J$378-EFEITO!$K$378*EFEITO!$Y$378</f>
        <v>0</v>
      </c>
      <c r="N378" s="62">
        <f ca="1">$K$378-EFEITO!$M$378*EFEITO!$Z$378</f>
        <v>162.26129681056727</v>
      </c>
      <c r="O378" s="62">
        <f>$L$378-EFEITO!$O$378*EFEITO!$AA$378</f>
        <v>37.560300892311943</v>
      </c>
      <c r="P378" s="45"/>
      <c r="Q378" s="45"/>
      <c r="R378" s="45"/>
      <c r="S378" s="45"/>
      <c r="T378" s="45"/>
      <c r="U378" s="45"/>
      <c r="V378" s="45"/>
      <c r="W378" s="4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41" t="s">
        <v>21</v>
      </c>
      <c r="B379" s="41" t="s">
        <v>43</v>
      </c>
      <c r="C379" s="41" t="s">
        <v>23</v>
      </c>
      <c r="D379" s="41" t="s">
        <v>44</v>
      </c>
      <c r="E379" s="41" t="s">
        <v>25</v>
      </c>
      <c r="F379" s="41" t="s">
        <v>25</v>
      </c>
      <c r="G379" s="41" t="s">
        <v>25</v>
      </c>
      <c r="H379" s="41" t="s">
        <v>25</v>
      </c>
      <c r="I379" s="61">
        <v>44682</v>
      </c>
      <c r="J379" s="62">
        <f>EFEITO!$J$379*EFEITO!$Y$227</f>
        <v>0</v>
      </c>
      <c r="K379" s="62">
        <f ca="1">EFEITO!$L$379*EFEITO!$Z$227</f>
        <v>125184.13012338638</v>
      </c>
      <c r="L379" s="62">
        <f>EFEITO!$N$379*EFEITO!$AA$227</f>
        <v>28977.665572746057</v>
      </c>
      <c r="M379" s="62">
        <f>$J$379-EFEITO!$K$379*EFEITO!$Y$379</f>
        <v>0</v>
      </c>
      <c r="N379" s="62">
        <f ca="1">$K$379-EFEITO!$M$379*EFEITO!$Z$379</f>
        <v>7511.0478074031853</v>
      </c>
      <c r="O379" s="62">
        <f>$L$379-EFEITO!$O$379*EFEITO!$AA$379</f>
        <v>1738.6599343647649</v>
      </c>
      <c r="P379" s="45"/>
      <c r="Q379" s="45"/>
      <c r="R379" s="45"/>
      <c r="S379" s="45"/>
      <c r="T379" s="45"/>
      <c r="U379" s="45"/>
      <c r="V379" s="45"/>
      <c r="W379" s="4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41" t="s">
        <v>27</v>
      </c>
      <c r="B380" s="41" t="s">
        <v>43</v>
      </c>
      <c r="C380" s="41" t="s">
        <v>23</v>
      </c>
      <c r="D380" s="41" t="s">
        <v>44</v>
      </c>
      <c r="E380" s="41" t="s">
        <v>25</v>
      </c>
      <c r="F380" s="41" t="s">
        <v>25</v>
      </c>
      <c r="G380" s="41" t="s">
        <v>25</v>
      </c>
      <c r="H380" s="41" t="s">
        <v>25</v>
      </c>
      <c r="I380" s="61">
        <v>44682</v>
      </c>
      <c r="J380" s="62">
        <f>EFEITO!$J$380*EFEITO!$Y$227</f>
        <v>0</v>
      </c>
      <c r="K380" s="62">
        <f ca="1">EFEITO!$L$380*EFEITO!$Z$227</f>
        <v>-327.56809155341557</v>
      </c>
      <c r="L380" s="62">
        <f>EFEITO!$N$380*EFEITO!$AA$227</f>
        <v>-75.825574695304397</v>
      </c>
      <c r="M380" s="62">
        <f>$J$380-EFEITO!$K$380*EFEITO!$Y$380</f>
        <v>0</v>
      </c>
      <c r="N380" s="62">
        <f ca="1">$K$380-EFEITO!$M$380*EFEITO!$Z$380</f>
        <v>-19.654085493204946</v>
      </c>
      <c r="O380" s="62">
        <f>$L$380-EFEITO!$O$380*EFEITO!$AA$380</f>
        <v>-4.5495344817182541</v>
      </c>
      <c r="P380" s="45"/>
      <c r="Q380" s="45"/>
      <c r="R380" s="45"/>
      <c r="S380" s="45"/>
      <c r="T380" s="45"/>
      <c r="U380" s="45"/>
      <c r="V380" s="45"/>
      <c r="W380" s="45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41" t="s">
        <v>28</v>
      </c>
      <c r="B381" s="41" t="s">
        <v>43</v>
      </c>
      <c r="C381" s="41" t="s">
        <v>23</v>
      </c>
      <c r="D381" s="41" t="s">
        <v>44</v>
      </c>
      <c r="E381" s="41" t="s">
        <v>25</v>
      </c>
      <c r="F381" s="41" t="s">
        <v>25</v>
      </c>
      <c r="G381" s="41" t="s">
        <v>25</v>
      </c>
      <c r="H381" s="41" t="s">
        <v>25</v>
      </c>
      <c r="I381" s="61">
        <v>44682</v>
      </c>
      <c r="J381" s="62">
        <f>EFEITO!$J$381*EFEITO!$Y$227</f>
        <v>0</v>
      </c>
      <c r="K381" s="62">
        <f ca="1">EFEITO!$L$381*EFEITO!$Z$227</f>
        <v>2292.3864280963353</v>
      </c>
      <c r="L381" s="62">
        <f>EFEITO!$N$381*EFEITO!$AA$227</f>
        <v>530.64240021002206</v>
      </c>
      <c r="M381" s="62">
        <f>$J$381-EFEITO!$K$381*EFEITO!$Y$381</f>
        <v>0</v>
      </c>
      <c r="N381" s="62">
        <f ca="1">$K$381-EFEITO!$M$381*EFEITO!$Z$381</f>
        <v>137.54318568578037</v>
      </c>
      <c r="O381" s="62">
        <f>$L$381-EFEITO!$O$381*EFEITO!$AA$381</f>
        <v>31.83854401260129</v>
      </c>
      <c r="P381" s="45"/>
      <c r="Q381" s="45"/>
      <c r="R381" s="45"/>
      <c r="S381" s="45"/>
      <c r="T381" s="45"/>
      <c r="U381" s="45"/>
      <c r="V381" s="45"/>
      <c r="W381" s="45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41" t="s">
        <v>21</v>
      </c>
      <c r="B382" s="41" t="s">
        <v>43</v>
      </c>
      <c r="C382" s="41" t="s">
        <v>23</v>
      </c>
      <c r="D382" s="41" t="s">
        <v>44</v>
      </c>
      <c r="E382" s="41" t="s">
        <v>25</v>
      </c>
      <c r="F382" s="41" t="s">
        <v>25</v>
      </c>
      <c r="G382" s="41" t="s">
        <v>25</v>
      </c>
      <c r="H382" s="41" t="s">
        <v>25</v>
      </c>
      <c r="I382" s="61">
        <v>44713</v>
      </c>
      <c r="J382" s="62">
        <f>EFEITO!$J$382*EFEITO!$Y$227</f>
        <v>0</v>
      </c>
      <c r="K382" s="62">
        <f ca="1">EFEITO!$L$382*EFEITO!$Z$227</f>
        <v>134664.71796955308</v>
      </c>
      <c r="L382" s="62">
        <f>EFEITO!$N$382*EFEITO!$AA$227</f>
        <v>31172.235313882411</v>
      </c>
      <c r="M382" s="62">
        <f>$J$382-EFEITO!$K$382*EFEITO!$Y$382</f>
        <v>0</v>
      </c>
      <c r="N382" s="62">
        <f ca="1">$K$382-EFEITO!$M$382*EFEITO!$Z$382</f>
        <v>8079.8830781731958</v>
      </c>
      <c r="O382" s="62">
        <f>$L$382-EFEITO!$O$382*EFEITO!$AA$382</f>
        <v>1870.3341188329468</v>
      </c>
      <c r="P382" s="45"/>
      <c r="Q382" s="45"/>
      <c r="R382" s="45"/>
      <c r="S382" s="45"/>
      <c r="T382" s="45"/>
      <c r="U382" s="45"/>
      <c r="V382" s="45"/>
      <c r="W382" s="4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41" t="s">
        <v>27</v>
      </c>
      <c r="B383" s="41" t="s">
        <v>43</v>
      </c>
      <c r="C383" s="41" t="s">
        <v>23</v>
      </c>
      <c r="D383" s="41" t="s">
        <v>44</v>
      </c>
      <c r="E383" s="41" t="s">
        <v>25</v>
      </c>
      <c r="F383" s="41" t="s">
        <v>25</v>
      </c>
      <c r="G383" s="41" t="s">
        <v>25</v>
      </c>
      <c r="H383" s="41" t="s">
        <v>25</v>
      </c>
      <c r="I383" s="61">
        <v>44713</v>
      </c>
      <c r="J383" s="62">
        <f>EFEITO!$J$383*EFEITO!$Y$227</f>
        <v>0</v>
      </c>
      <c r="K383" s="62">
        <f ca="1">EFEITO!$L$383*EFEITO!$Z$227</f>
        <v>-299.82809100745067</v>
      </c>
      <c r="L383" s="62">
        <f>EFEITO!$N$383*EFEITO!$AA$227</f>
        <v>-69.404309811197535</v>
      </c>
      <c r="M383" s="62">
        <f>$J$383-EFEITO!$K$383*EFEITO!$Y$383</f>
        <v>0</v>
      </c>
      <c r="N383" s="62">
        <f ca="1">$K$383-EFEITO!$M$383*EFEITO!$Z$383</f>
        <v>-17.989685460447049</v>
      </c>
      <c r="O383" s="62">
        <f>$L$383-EFEITO!$O$383*EFEITO!$AA$383</f>
        <v>-4.1642585886718564</v>
      </c>
      <c r="P383" s="45"/>
      <c r="Q383" s="45"/>
      <c r="R383" s="45"/>
      <c r="S383" s="45"/>
      <c r="T383" s="45"/>
      <c r="U383" s="45"/>
      <c r="V383" s="45"/>
      <c r="W383" s="45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41" t="s">
        <v>28</v>
      </c>
      <c r="B384" s="41" t="s">
        <v>43</v>
      </c>
      <c r="C384" s="41" t="s">
        <v>23</v>
      </c>
      <c r="D384" s="41" t="s">
        <v>44</v>
      </c>
      <c r="E384" s="41" t="s">
        <v>25</v>
      </c>
      <c r="F384" s="41" t="s">
        <v>25</v>
      </c>
      <c r="G384" s="41" t="s">
        <v>25</v>
      </c>
      <c r="H384" s="41" t="s">
        <v>25</v>
      </c>
      <c r="I384" s="61">
        <v>44713</v>
      </c>
      <c r="J384" s="62">
        <f>EFEITO!$J$384*EFEITO!$Y$227</f>
        <v>0</v>
      </c>
      <c r="K384" s="62">
        <f ca="1">EFEITO!$L$384*EFEITO!$Z$227</f>
        <v>3328.2098527382168</v>
      </c>
      <c r="L384" s="62">
        <f>EFEITO!$N$384*EFEITO!$AA$227</f>
        <v>770.41516343571448</v>
      </c>
      <c r="M384" s="62">
        <f>$J$384-EFEITO!$K$384*EFEITO!$Y$384</f>
        <v>0</v>
      </c>
      <c r="N384" s="62">
        <f ca="1">$K$384-EFEITO!$M$384*EFEITO!$Z$384</f>
        <v>199.69259116429293</v>
      </c>
      <c r="O384" s="62">
        <f>$L$384-EFEITO!$O$384*EFEITO!$AA$384</f>
        <v>46.224909806142932</v>
      </c>
      <c r="P384" s="45"/>
      <c r="Q384" s="45"/>
      <c r="R384" s="45"/>
      <c r="S384" s="45"/>
      <c r="T384" s="45"/>
      <c r="U384" s="45"/>
      <c r="V384" s="45"/>
      <c r="W384" s="4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41" t="s">
        <v>21</v>
      </c>
      <c r="B385" s="41" t="s">
        <v>43</v>
      </c>
      <c r="C385" s="41" t="s">
        <v>23</v>
      </c>
      <c r="D385" s="41" t="s">
        <v>44</v>
      </c>
      <c r="E385" s="41" t="s">
        <v>25</v>
      </c>
      <c r="F385" s="41" t="s">
        <v>25</v>
      </c>
      <c r="G385" s="41" t="s">
        <v>25</v>
      </c>
      <c r="H385" s="41" t="s">
        <v>25</v>
      </c>
      <c r="I385" s="61">
        <v>44743</v>
      </c>
      <c r="J385" s="62">
        <f>EFEITO!$J$385*EFEITO!$Y$227</f>
        <v>0</v>
      </c>
      <c r="K385" s="62">
        <f ca="1">EFEITO!$L$385*EFEITO!$Z$227</f>
        <v>126604.77227900633</v>
      </c>
      <c r="L385" s="62">
        <f>EFEITO!$N$385*EFEITO!$AA$227</f>
        <v>29306.516308406593</v>
      </c>
      <c r="M385" s="62">
        <f>$J$385-EFEITO!$K$385*EFEITO!$Y$385</f>
        <v>0</v>
      </c>
      <c r="N385" s="62">
        <f ca="1">$K$385-EFEITO!$M$385*EFEITO!$Z$385</f>
        <v>7596.286336740377</v>
      </c>
      <c r="O385" s="62">
        <f>$L$385-EFEITO!$O$385*EFEITO!$AA$385</f>
        <v>1758.3909785043943</v>
      </c>
      <c r="P385" s="45"/>
      <c r="Q385" s="45"/>
      <c r="R385" s="45"/>
      <c r="S385" s="45"/>
      <c r="T385" s="45"/>
      <c r="U385" s="45"/>
      <c r="V385" s="45"/>
      <c r="W385" s="4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41" t="s">
        <v>28</v>
      </c>
      <c r="B386" s="41" t="s">
        <v>43</v>
      </c>
      <c r="C386" s="41" t="s">
        <v>23</v>
      </c>
      <c r="D386" s="41" t="s">
        <v>44</v>
      </c>
      <c r="E386" s="41" t="s">
        <v>25</v>
      </c>
      <c r="F386" s="41" t="s">
        <v>25</v>
      </c>
      <c r="G386" s="41" t="s">
        <v>25</v>
      </c>
      <c r="H386" s="41" t="s">
        <v>25</v>
      </c>
      <c r="I386" s="61">
        <v>44743</v>
      </c>
      <c r="J386" s="62">
        <f>EFEITO!$J$386*EFEITO!$Y$227</f>
        <v>0</v>
      </c>
      <c r="K386" s="62">
        <f ca="1">EFEITO!$L$386*EFEITO!$Z$227</f>
        <v>3258.5647449845178</v>
      </c>
      <c r="L386" s="62">
        <f>EFEITO!$N$386*EFEITO!$AA$227</f>
        <v>754.29368989689294</v>
      </c>
      <c r="M386" s="62">
        <f>$J$386-EFEITO!$K$386*EFEITO!$Y$386</f>
        <v>0</v>
      </c>
      <c r="N386" s="62">
        <f ca="1">$K$386-EFEITO!$M$386*EFEITO!$Z$386</f>
        <v>195.51388469907124</v>
      </c>
      <c r="O386" s="62">
        <f>$L$386-EFEITO!$O$386*EFEITO!$AA$386</f>
        <v>45.257621393813679</v>
      </c>
      <c r="P386" s="45"/>
      <c r="Q386" s="45"/>
      <c r="R386" s="45"/>
      <c r="S386" s="45"/>
      <c r="T386" s="45"/>
      <c r="U386" s="45"/>
      <c r="V386" s="45"/>
      <c r="W386" s="45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41" t="s">
        <v>55</v>
      </c>
      <c r="B387" s="41" t="s">
        <v>43</v>
      </c>
      <c r="C387" s="41" t="s">
        <v>23</v>
      </c>
      <c r="D387" s="41" t="s">
        <v>44</v>
      </c>
      <c r="E387" s="41" t="s">
        <v>25</v>
      </c>
      <c r="F387" s="41" t="s">
        <v>25</v>
      </c>
      <c r="G387" s="41" t="s">
        <v>25</v>
      </c>
      <c r="H387" s="41" t="s">
        <v>25</v>
      </c>
      <c r="I387" s="61">
        <v>44774</v>
      </c>
      <c r="J387" s="62">
        <f>EFEITO!$J$387*EFEITO!$Y$227</f>
        <v>0</v>
      </c>
      <c r="K387" s="62">
        <f ca="1">EFEITO!$L$387*EFEITO!$Z$227</f>
        <v>126604.77227900633</v>
      </c>
      <c r="L387" s="62">
        <f>EFEITO!$N$387*EFEITO!$AA$227</f>
        <v>29306.516308406593</v>
      </c>
      <c r="M387" s="62">
        <f>$J$387-EFEITO!$K$387*EFEITO!$Y$387</f>
        <v>0</v>
      </c>
      <c r="N387" s="62">
        <f ca="1">$K$387-EFEITO!$M$387*EFEITO!$Z$387</f>
        <v>7596.286336740377</v>
      </c>
      <c r="O387" s="62">
        <f>$L$387-EFEITO!$O$387*EFEITO!$AA$387</f>
        <v>1758.3909785043943</v>
      </c>
      <c r="P387" s="45"/>
      <c r="Q387" s="45"/>
      <c r="R387" s="45"/>
      <c r="S387" s="45"/>
      <c r="T387" s="45"/>
      <c r="U387" s="45"/>
      <c r="V387" s="45"/>
      <c r="W387" s="45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41" t="s">
        <v>55</v>
      </c>
      <c r="B388" s="41" t="s">
        <v>43</v>
      </c>
      <c r="C388" s="41" t="s">
        <v>23</v>
      </c>
      <c r="D388" s="41" t="s">
        <v>44</v>
      </c>
      <c r="E388" s="41" t="s">
        <v>25</v>
      </c>
      <c r="F388" s="41" t="s">
        <v>25</v>
      </c>
      <c r="G388" s="41" t="s">
        <v>25</v>
      </c>
      <c r="H388" s="41" t="s">
        <v>25</v>
      </c>
      <c r="I388" s="61">
        <v>44774</v>
      </c>
      <c r="J388" s="62">
        <f>EFEITO!$J$388*EFEITO!$Y$227</f>
        <v>0</v>
      </c>
      <c r="K388" s="62">
        <f ca="1">EFEITO!$L$388*EFEITO!$Z$227</f>
        <v>3258.5647449845178</v>
      </c>
      <c r="L388" s="62">
        <f>EFEITO!$N$388*EFEITO!$AA$227</f>
        <v>754.29368989689294</v>
      </c>
      <c r="M388" s="62">
        <f>$J$388-EFEITO!$K$388*EFEITO!$Y$388</f>
        <v>0</v>
      </c>
      <c r="N388" s="62">
        <f ca="1">$K$388-EFEITO!$M$388*EFEITO!$Z$388</f>
        <v>195.51388469907124</v>
      </c>
      <c r="O388" s="62">
        <f>$L$388-EFEITO!$O$388*EFEITO!$AA$388</f>
        <v>45.257621393813679</v>
      </c>
      <c r="P388" s="45"/>
      <c r="Q388" s="45"/>
      <c r="R388" s="45"/>
      <c r="S388" s="45"/>
      <c r="T388" s="45"/>
      <c r="U388" s="45"/>
      <c r="V388" s="45"/>
      <c r="W388" s="45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41" t="s">
        <v>21</v>
      </c>
      <c r="B389" s="41" t="s">
        <v>33</v>
      </c>
      <c r="C389" s="41" t="s">
        <v>41</v>
      </c>
      <c r="D389" s="41" t="s">
        <v>40</v>
      </c>
      <c r="E389" s="41" t="s">
        <v>25</v>
      </c>
      <c r="F389" s="41" t="s">
        <v>25</v>
      </c>
      <c r="G389" s="41" t="s">
        <v>25</v>
      </c>
      <c r="H389" s="41" t="s">
        <v>38</v>
      </c>
      <c r="I389" s="61">
        <v>44440</v>
      </c>
      <c r="J389" s="62">
        <f>EFEITO!$J$389*EFEITO!$Y$389</f>
        <v>0</v>
      </c>
      <c r="K389" s="62">
        <f ca="1">EFEITO!$L$389*EFEITO!$Z$389</f>
        <v>3104.4454438168909</v>
      </c>
      <c r="L389" s="62">
        <f>EFEITO!$N$389*EFEITO!$AA$389</f>
        <v>967.42503498639724</v>
      </c>
      <c r="M389" s="62">
        <f>$J$389-EFEITO!$K$389*EFEITO!$Y$389</f>
        <v>0</v>
      </c>
      <c r="N389" s="62">
        <f ca="1">$K$389-EFEITO!$M$389*EFEITO!$Z$389</f>
        <v>0</v>
      </c>
      <c r="O389" s="62">
        <f>$L$389-EFEITO!$O$389*EFEITO!$AA$389</f>
        <v>0</v>
      </c>
      <c r="P389" s="45"/>
      <c r="Q389" s="45"/>
      <c r="R389" s="45"/>
      <c r="S389" s="45"/>
      <c r="T389" s="45"/>
      <c r="U389" s="45"/>
      <c r="V389" s="45"/>
      <c r="W389" s="45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41" t="s">
        <v>21</v>
      </c>
      <c r="B390" s="41" t="s">
        <v>33</v>
      </c>
      <c r="C390" s="41" t="s">
        <v>41</v>
      </c>
      <c r="D390" s="41" t="s">
        <v>40</v>
      </c>
      <c r="E390" s="41" t="s">
        <v>25</v>
      </c>
      <c r="F390" s="41" t="s">
        <v>25</v>
      </c>
      <c r="G390" s="41" t="s">
        <v>25</v>
      </c>
      <c r="H390" s="41" t="s">
        <v>38</v>
      </c>
      <c r="I390" s="61">
        <v>44470</v>
      </c>
      <c r="J390" s="62">
        <f>EFEITO!$J$390*EFEITO!$Y$390</f>
        <v>0</v>
      </c>
      <c r="K390" s="62">
        <f ca="1">EFEITO!$L$390*EFEITO!$Z$390</f>
        <v>2354.3104128367045</v>
      </c>
      <c r="L390" s="62">
        <f>EFEITO!$N$390*EFEITO!$AA$390</f>
        <v>733.66366867348574</v>
      </c>
      <c r="M390" s="62">
        <f>$J$390-EFEITO!$K$390*EFEITO!$Y$390</f>
        <v>0</v>
      </c>
      <c r="N390" s="62">
        <f ca="1">$K$390-EFEITO!$M$390*EFEITO!$Z$390</f>
        <v>0</v>
      </c>
      <c r="O390" s="62">
        <f>$L$390-EFEITO!$O$390*EFEITO!$AA$390</f>
        <v>0</v>
      </c>
      <c r="P390" s="45"/>
      <c r="Q390" s="45"/>
      <c r="R390" s="45"/>
      <c r="S390" s="45"/>
      <c r="T390" s="45"/>
      <c r="U390" s="45"/>
      <c r="V390" s="45"/>
      <c r="W390" s="45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41" t="s">
        <v>21</v>
      </c>
      <c r="B391" s="41" t="s">
        <v>33</v>
      </c>
      <c r="C391" s="41" t="s">
        <v>41</v>
      </c>
      <c r="D391" s="41" t="s">
        <v>40</v>
      </c>
      <c r="E391" s="41" t="s">
        <v>25</v>
      </c>
      <c r="F391" s="41" t="s">
        <v>25</v>
      </c>
      <c r="G391" s="41" t="s">
        <v>25</v>
      </c>
      <c r="H391" s="41" t="s">
        <v>38</v>
      </c>
      <c r="I391" s="61">
        <v>44501</v>
      </c>
      <c r="J391" s="62">
        <f>EFEITO!$J$391*EFEITO!$Y$391</f>
        <v>0</v>
      </c>
      <c r="K391" s="62">
        <f ca="1">EFEITO!$L$391*EFEITO!$Z$391</f>
        <v>2480.1366862974369</v>
      </c>
      <c r="L391" s="62">
        <f>EFEITO!$N$391*EFEITO!$AA$391</f>
        <v>772.87437126367024</v>
      </c>
      <c r="M391" s="62">
        <f>$J$391-EFEITO!$K$391*EFEITO!$Y$391</f>
        <v>0</v>
      </c>
      <c r="N391" s="62">
        <f ca="1">$K$391-EFEITO!$M$391*EFEITO!$Z$391</f>
        <v>0</v>
      </c>
      <c r="O391" s="62">
        <f>$L$391-EFEITO!$O$391*EFEITO!$AA$391</f>
        <v>0</v>
      </c>
      <c r="P391" s="45"/>
      <c r="Q391" s="45"/>
      <c r="R391" s="45"/>
      <c r="S391" s="45"/>
      <c r="T391" s="45"/>
      <c r="U391" s="45"/>
      <c r="V391" s="45"/>
      <c r="W391" s="45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41" t="s">
        <v>21</v>
      </c>
      <c r="B392" s="41" t="s">
        <v>33</v>
      </c>
      <c r="C392" s="41" t="s">
        <v>41</v>
      </c>
      <c r="D392" s="41" t="s">
        <v>40</v>
      </c>
      <c r="E392" s="41" t="s">
        <v>25</v>
      </c>
      <c r="F392" s="41" t="s">
        <v>25</v>
      </c>
      <c r="G392" s="41" t="s">
        <v>25</v>
      </c>
      <c r="H392" s="41" t="s">
        <v>38</v>
      </c>
      <c r="I392" s="61">
        <v>44531</v>
      </c>
      <c r="J392" s="62">
        <f>EFEITO!$J$392*EFEITO!$Y$392</f>
        <v>0</v>
      </c>
      <c r="K392" s="62">
        <f ca="1">EFEITO!$L$392*EFEITO!$Z$392</f>
        <v>3992.2440631826871</v>
      </c>
      <c r="L392" s="62">
        <f>EFEITO!$N$392*EFEITO!$AA$392</f>
        <v>1244.0859156314266</v>
      </c>
      <c r="M392" s="62">
        <f>$J$392-EFEITO!$K$392*EFEITO!$Y$392</f>
        <v>0</v>
      </c>
      <c r="N392" s="62">
        <f ca="1">$K$392-EFEITO!$M$392*EFEITO!$Z$392</f>
        <v>0</v>
      </c>
      <c r="O392" s="62">
        <f>$L$392-EFEITO!$O$392*EFEITO!$AA$392</f>
        <v>0</v>
      </c>
      <c r="P392" s="45"/>
      <c r="Q392" s="45"/>
      <c r="R392" s="45"/>
      <c r="S392" s="45"/>
      <c r="T392" s="45"/>
      <c r="U392" s="45"/>
      <c r="V392" s="45"/>
      <c r="W392" s="45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41" t="s">
        <v>21</v>
      </c>
      <c r="B393" s="41" t="s">
        <v>33</v>
      </c>
      <c r="C393" s="41" t="s">
        <v>41</v>
      </c>
      <c r="D393" s="41" t="s">
        <v>40</v>
      </c>
      <c r="E393" s="41" t="s">
        <v>25</v>
      </c>
      <c r="F393" s="41" t="s">
        <v>25</v>
      </c>
      <c r="G393" s="41" t="s">
        <v>25</v>
      </c>
      <c r="H393" s="41" t="s">
        <v>38</v>
      </c>
      <c r="I393" s="61">
        <v>44562</v>
      </c>
      <c r="J393" s="62">
        <f>EFEITO!$J$393*EFEITO!$Y$393</f>
        <v>0</v>
      </c>
      <c r="K393" s="62">
        <f ca="1">EFEITO!$L$393*EFEITO!$Z$393</f>
        <v>3631.8635865808678</v>
      </c>
      <c r="L393" s="62">
        <f>EFEITO!$N$393*EFEITO!$AA$393</f>
        <v>1131.7820914881111</v>
      </c>
      <c r="M393" s="62">
        <f>$J$393-EFEITO!$K$393*EFEITO!$Y$393</f>
        <v>0</v>
      </c>
      <c r="N393" s="62">
        <f ca="1">$K$393-EFEITO!$M$393*EFEITO!$Z$393</f>
        <v>0</v>
      </c>
      <c r="O393" s="62">
        <f>$L$393-EFEITO!$O$393*EFEITO!$AA$393</f>
        <v>0</v>
      </c>
      <c r="P393" s="45"/>
      <c r="Q393" s="45"/>
      <c r="R393" s="45"/>
      <c r="S393" s="45"/>
      <c r="T393" s="45"/>
      <c r="U393" s="45"/>
      <c r="V393" s="45"/>
      <c r="W393" s="45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41" t="s">
        <v>21</v>
      </c>
      <c r="B394" s="41" t="s">
        <v>33</v>
      </c>
      <c r="C394" s="41" t="s">
        <v>41</v>
      </c>
      <c r="D394" s="41" t="s">
        <v>40</v>
      </c>
      <c r="E394" s="41" t="s">
        <v>25</v>
      </c>
      <c r="F394" s="41" t="s">
        <v>25</v>
      </c>
      <c r="G394" s="41" t="s">
        <v>25</v>
      </c>
      <c r="H394" s="41" t="s">
        <v>38</v>
      </c>
      <c r="I394" s="61">
        <v>44593</v>
      </c>
      <c r="J394" s="62">
        <f>EFEITO!$J$394*EFEITO!$Y$394</f>
        <v>0</v>
      </c>
      <c r="K394" s="62">
        <f ca="1">EFEITO!$L$394*EFEITO!$Z$394</f>
        <v>3730.0694585502192</v>
      </c>
      <c r="L394" s="62">
        <f>EFEITO!$N$394*EFEITO!$AA$394</f>
        <v>1162.38556668045</v>
      </c>
      <c r="M394" s="62">
        <f>$J$394-EFEITO!$K$394*EFEITO!$Y$394</f>
        <v>0</v>
      </c>
      <c r="N394" s="62">
        <f ca="1">$K$394-EFEITO!$M$394*EFEITO!$Z$394</f>
        <v>0</v>
      </c>
      <c r="O394" s="62">
        <f>$L$394-EFEITO!$O$394*EFEITO!$AA$394</f>
        <v>0</v>
      </c>
      <c r="P394" s="45"/>
      <c r="Q394" s="45"/>
      <c r="R394" s="45"/>
      <c r="S394" s="45"/>
      <c r="T394" s="45"/>
      <c r="U394" s="45"/>
      <c r="V394" s="45"/>
      <c r="W394" s="45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41" t="s">
        <v>21</v>
      </c>
      <c r="B395" s="41" t="s">
        <v>33</v>
      </c>
      <c r="C395" s="41" t="s">
        <v>41</v>
      </c>
      <c r="D395" s="41" t="s">
        <v>40</v>
      </c>
      <c r="E395" s="41" t="s">
        <v>25</v>
      </c>
      <c r="F395" s="41" t="s">
        <v>25</v>
      </c>
      <c r="G395" s="41" t="s">
        <v>25</v>
      </c>
      <c r="H395" s="41" t="s">
        <v>38</v>
      </c>
      <c r="I395" s="61">
        <v>44621</v>
      </c>
      <c r="J395" s="62">
        <f>EFEITO!$J$395*EFEITO!$Y$395</f>
        <v>0</v>
      </c>
      <c r="K395" s="62">
        <f ca="1">EFEITO!$L$395*EFEITO!$Z$395</f>
        <v>2772.5622068490347</v>
      </c>
      <c r="L395" s="62">
        <f>EFEITO!$N$395*EFEITO!$AA$395</f>
        <v>864.00168355514415</v>
      </c>
      <c r="M395" s="62">
        <f>$J$395-EFEITO!$K$395*EFEITO!$Y$395</f>
        <v>0</v>
      </c>
      <c r="N395" s="62">
        <f ca="1">$K$395-EFEITO!$M$395*EFEITO!$Z$395</f>
        <v>0</v>
      </c>
      <c r="O395" s="62">
        <f>$L$395-EFEITO!$O$395*EFEITO!$AA$395</f>
        <v>0</v>
      </c>
      <c r="P395" s="45"/>
      <c r="Q395" s="45"/>
      <c r="R395" s="45"/>
      <c r="S395" s="45"/>
      <c r="T395" s="45"/>
      <c r="U395" s="45"/>
      <c r="V395" s="45"/>
      <c r="W395" s="45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41" t="s">
        <v>21</v>
      </c>
      <c r="B396" s="41" t="s">
        <v>33</v>
      </c>
      <c r="C396" s="41" t="s">
        <v>41</v>
      </c>
      <c r="D396" s="41" t="s">
        <v>40</v>
      </c>
      <c r="E396" s="41" t="s">
        <v>25</v>
      </c>
      <c r="F396" s="41" t="s">
        <v>25</v>
      </c>
      <c r="G396" s="41" t="s">
        <v>25</v>
      </c>
      <c r="H396" s="41" t="s">
        <v>38</v>
      </c>
      <c r="I396" s="61">
        <v>44652</v>
      </c>
      <c r="J396" s="62">
        <f>EFEITO!$J$396*EFEITO!$Y$396</f>
        <v>0</v>
      </c>
      <c r="K396" s="62">
        <f ca="1">EFEITO!$L$396*EFEITO!$Z$396</f>
        <v>2768.1780161361175</v>
      </c>
      <c r="L396" s="62">
        <f>EFEITO!$N$396*EFEITO!$AA$396</f>
        <v>862.63545698405756</v>
      </c>
      <c r="M396" s="62">
        <f>$J$396-EFEITO!$K$396*EFEITO!$Y$396</f>
        <v>0</v>
      </c>
      <c r="N396" s="62">
        <f ca="1">$K$396-EFEITO!$M$396*EFEITO!$Z$396</f>
        <v>0</v>
      </c>
      <c r="O396" s="62">
        <f>$L$396-EFEITO!$O$396*EFEITO!$AA$396</f>
        <v>0</v>
      </c>
      <c r="P396" s="45"/>
      <c r="Q396" s="45"/>
      <c r="R396" s="45"/>
      <c r="S396" s="45"/>
      <c r="T396" s="45"/>
      <c r="U396" s="45"/>
      <c r="V396" s="45"/>
      <c r="W396" s="45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41" t="s">
        <v>21</v>
      </c>
      <c r="B397" s="41" t="s">
        <v>33</v>
      </c>
      <c r="C397" s="41" t="s">
        <v>41</v>
      </c>
      <c r="D397" s="41" t="s">
        <v>40</v>
      </c>
      <c r="E397" s="41" t="s">
        <v>25</v>
      </c>
      <c r="F397" s="41" t="s">
        <v>25</v>
      </c>
      <c r="G397" s="41" t="s">
        <v>25</v>
      </c>
      <c r="H397" s="41" t="s">
        <v>38</v>
      </c>
      <c r="I397" s="61">
        <v>44682</v>
      </c>
      <c r="J397" s="62">
        <f>EFEITO!$J$397*EFEITO!$Y$397</f>
        <v>0</v>
      </c>
      <c r="K397" s="62">
        <f ca="1">EFEITO!$L$397*EFEITO!$Z$397</f>
        <v>2291.178066570692</v>
      </c>
      <c r="L397" s="62">
        <f>EFEITO!$N$397*EFEITO!$AA$397</f>
        <v>713.99000604983928</v>
      </c>
      <c r="M397" s="62">
        <f>$J$397-EFEITO!$K$397*EFEITO!$Y$397</f>
        <v>0</v>
      </c>
      <c r="N397" s="62">
        <f ca="1">$K$397-EFEITO!$M$397*EFEITO!$Z$397</f>
        <v>0</v>
      </c>
      <c r="O397" s="62">
        <f>$L$397-EFEITO!$O$397*EFEITO!$AA$397</f>
        <v>0</v>
      </c>
      <c r="P397" s="45"/>
      <c r="Q397" s="45"/>
      <c r="R397" s="45"/>
      <c r="S397" s="45"/>
      <c r="T397" s="45"/>
      <c r="U397" s="45"/>
      <c r="V397" s="45"/>
      <c r="W397" s="45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41" t="s">
        <v>21</v>
      </c>
      <c r="B398" s="41" t="s">
        <v>33</v>
      </c>
      <c r="C398" s="41" t="s">
        <v>41</v>
      </c>
      <c r="D398" s="41" t="s">
        <v>40</v>
      </c>
      <c r="E398" s="41" t="s">
        <v>25</v>
      </c>
      <c r="F398" s="41" t="s">
        <v>25</v>
      </c>
      <c r="G398" s="41" t="s">
        <v>25</v>
      </c>
      <c r="H398" s="41" t="s">
        <v>38</v>
      </c>
      <c r="I398" s="61">
        <v>44713</v>
      </c>
      <c r="J398" s="62">
        <f>EFEITO!$J$398*EFEITO!$Y$398</f>
        <v>0</v>
      </c>
      <c r="K398" s="62">
        <f ca="1">EFEITO!$L$398*EFEITO!$Z$398</f>
        <v>2117.5641143391586</v>
      </c>
      <c r="L398" s="62">
        <f>EFEITO!$N$398*EFEITO!$AA$398</f>
        <v>659.88743383481119</v>
      </c>
      <c r="M398" s="62">
        <f>$J$398-EFEITO!$K$398*EFEITO!$Y$398</f>
        <v>0</v>
      </c>
      <c r="N398" s="62">
        <f ca="1">$K$398-EFEITO!$M$398*EFEITO!$Z$398</f>
        <v>0</v>
      </c>
      <c r="O398" s="62">
        <f>$L$398-EFEITO!$O$398*EFEITO!$AA$398</f>
        <v>0</v>
      </c>
      <c r="P398" s="45"/>
      <c r="Q398" s="45"/>
      <c r="R398" s="45"/>
      <c r="S398" s="45"/>
      <c r="T398" s="45"/>
      <c r="U398" s="45"/>
      <c r="V398" s="45"/>
      <c r="W398" s="45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41" t="s">
        <v>21</v>
      </c>
      <c r="B399" s="41" t="s">
        <v>33</v>
      </c>
      <c r="C399" s="41" t="s">
        <v>41</v>
      </c>
      <c r="D399" s="41" t="s">
        <v>40</v>
      </c>
      <c r="E399" s="41" t="s">
        <v>25</v>
      </c>
      <c r="F399" s="41" t="s">
        <v>25</v>
      </c>
      <c r="G399" s="41" t="s">
        <v>25</v>
      </c>
      <c r="H399" s="41" t="s">
        <v>38</v>
      </c>
      <c r="I399" s="61">
        <v>44743</v>
      </c>
      <c r="J399" s="62">
        <f>EFEITO!$J$399*EFEITO!$Y$399</f>
        <v>0</v>
      </c>
      <c r="K399" s="62">
        <f ca="1">EFEITO!$L$399*EFEITO!$Z$399</f>
        <v>1447.6597734053628</v>
      </c>
      <c r="L399" s="62">
        <f>EFEITO!$N$399*EFEITO!$AA$399</f>
        <v>451.12801377278402</v>
      </c>
      <c r="M399" s="62">
        <f>$J$399-EFEITO!$K$399*EFEITO!$Y$399</f>
        <v>0</v>
      </c>
      <c r="N399" s="62">
        <f ca="1">$K$399-EFEITO!$M$399*EFEITO!$Z$399</f>
        <v>0</v>
      </c>
      <c r="O399" s="62">
        <f>$L$399-EFEITO!$O$399*EFEITO!$AA$399</f>
        <v>0</v>
      </c>
      <c r="P399" s="45"/>
      <c r="Q399" s="45"/>
      <c r="R399" s="45"/>
      <c r="S399" s="45"/>
      <c r="T399" s="45"/>
      <c r="U399" s="45"/>
      <c r="V399" s="45"/>
      <c r="W399" s="45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41" t="s">
        <v>55</v>
      </c>
      <c r="B400" s="41" t="s">
        <v>33</v>
      </c>
      <c r="C400" s="41" t="s">
        <v>41</v>
      </c>
      <c r="D400" s="41" t="s">
        <v>40</v>
      </c>
      <c r="E400" s="41" t="s">
        <v>25</v>
      </c>
      <c r="F400" s="41" t="s">
        <v>25</v>
      </c>
      <c r="G400" s="41" t="s">
        <v>25</v>
      </c>
      <c r="H400" s="41" t="s">
        <v>38</v>
      </c>
      <c r="I400" s="61">
        <v>44774</v>
      </c>
      <c r="J400" s="62">
        <f>EFEITO!$J$400*EFEITO!$Y$400</f>
        <v>0</v>
      </c>
      <c r="K400" s="62">
        <f ca="1">EFEITO!$L$400*EFEITO!$Z$400</f>
        <v>1447.6597734053628</v>
      </c>
      <c r="L400" s="62">
        <f>EFEITO!$N$400*EFEITO!$AA$400</f>
        <v>451.12801377278402</v>
      </c>
      <c r="M400" s="62">
        <f>$J$400-EFEITO!$K$400*EFEITO!$Y$400</f>
        <v>0</v>
      </c>
      <c r="N400" s="62">
        <f ca="1">$K$400-EFEITO!$M$400*EFEITO!$Z$400</f>
        <v>0</v>
      </c>
      <c r="O400" s="62">
        <f>$L$400-EFEITO!$O$400*EFEITO!$AA$400</f>
        <v>0</v>
      </c>
      <c r="P400" s="45"/>
      <c r="Q400" s="45"/>
      <c r="R400" s="45"/>
      <c r="S400" s="45"/>
      <c r="T400" s="45"/>
      <c r="U400" s="45"/>
      <c r="V400" s="45"/>
      <c r="W400" s="45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41" t="s">
        <v>21</v>
      </c>
      <c r="B401" s="41" t="s">
        <v>33</v>
      </c>
      <c r="C401" s="41" t="s">
        <v>41</v>
      </c>
      <c r="D401" s="41" t="s">
        <v>40</v>
      </c>
      <c r="E401" s="41" t="s">
        <v>25</v>
      </c>
      <c r="F401" s="41" t="s">
        <v>25</v>
      </c>
      <c r="G401" s="41" t="s">
        <v>25</v>
      </c>
      <c r="H401" s="41" t="s">
        <v>42</v>
      </c>
      <c r="I401" s="61">
        <v>44440</v>
      </c>
      <c r="J401" s="62">
        <f>EFEITO!$J$401*EFEITO!$Y$401</f>
        <v>0</v>
      </c>
      <c r="K401" s="62">
        <f ca="1">EFEITO!$L$401*EFEITO!$Z$401</f>
        <v>86.681703178794749</v>
      </c>
      <c r="L401" s="62">
        <f>EFEITO!$N$401*EFEITO!$AA$401</f>
        <v>10.929812568692526</v>
      </c>
      <c r="M401" s="62">
        <f>$J$401-EFEITO!$K$401*EFEITO!$Y$401</f>
        <v>0</v>
      </c>
      <c r="N401" s="62">
        <f ca="1">$K$401-EFEITO!$M$401*EFEITO!$Z$401</f>
        <v>0</v>
      </c>
      <c r="O401" s="62">
        <f>$L$401-EFEITO!$O$401*EFEITO!$AA$401</f>
        <v>0</v>
      </c>
      <c r="P401" s="45"/>
      <c r="Q401" s="45"/>
      <c r="R401" s="45"/>
      <c r="S401" s="45"/>
      <c r="T401" s="45"/>
      <c r="U401" s="45"/>
      <c r="V401" s="45"/>
      <c r="W401" s="45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41" t="s">
        <v>21</v>
      </c>
      <c r="B402" s="41" t="s">
        <v>33</v>
      </c>
      <c r="C402" s="41" t="s">
        <v>41</v>
      </c>
      <c r="D402" s="41" t="s">
        <v>40</v>
      </c>
      <c r="E402" s="41" t="s">
        <v>25</v>
      </c>
      <c r="F402" s="41" t="s">
        <v>25</v>
      </c>
      <c r="G402" s="41" t="s">
        <v>25</v>
      </c>
      <c r="H402" s="41" t="s">
        <v>42</v>
      </c>
      <c r="I402" s="61">
        <v>44470</v>
      </c>
      <c r="J402" s="62">
        <f>EFEITO!$J$402*EFEITO!$Y$402</f>
        <v>0</v>
      </c>
      <c r="K402" s="62">
        <f ca="1">EFEITO!$L$402*EFEITO!$Z$402</f>
        <v>102.93452252481876</v>
      </c>
      <c r="L402" s="62">
        <f>EFEITO!$N$402*EFEITO!$AA$402</f>
        <v>12.979152425322374</v>
      </c>
      <c r="M402" s="62">
        <f>$J$402-EFEITO!$K$402*EFEITO!$Y$402</f>
        <v>0</v>
      </c>
      <c r="N402" s="62">
        <f ca="1">$K$402-EFEITO!$M$402*EFEITO!$Z$402</f>
        <v>0</v>
      </c>
      <c r="O402" s="62">
        <f>$L$402-EFEITO!$O$402*EFEITO!$AA$402</f>
        <v>0</v>
      </c>
      <c r="P402" s="45"/>
      <c r="Q402" s="45"/>
      <c r="R402" s="45"/>
      <c r="S402" s="45"/>
      <c r="T402" s="45"/>
      <c r="U402" s="45"/>
      <c r="V402" s="45"/>
      <c r="W402" s="45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41" t="s">
        <v>21</v>
      </c>
      <c r="B403" s="41" t="s">
        <v>33</v>
      </c>
      <c r="C403" s="41" t="s">
        <v>41</v>
      </c>
      <c r="D403" s="41" t="s">
        <v>40</v>
      </c>
      <c r="E403" s="41" t="s">
        <v>25</v>
      </c>
      <c r="F403" s="41" t="s">
        <v>25</v>
      </c>
      <c r="G403" s="41" t="s">
        <v>25</v>
      </c>
      <c r="H403" s="41" t="s">
        <v>42</v>
      </c>
      <c r="I403" s="61">
        <v>44501</v>
      </c>
      <c r="J403" s="62">
        <f>EFEITO!$J$403*EFEITO!$Y$403</f>
        <v>0</v>
      </c>
      <c r="K403" s="62">
        <f ca="1">EFEITO!$L$403*EFEITO!$Z$403</f>
        <v>112.68621413243316</v>
      </c>
      <c r="L403" s="62">
        <f>EFEITO!$N$403*EFEITO!$AA$403</f>
        <v>14.208756339300283</v>
      </c>
      <c r="M403" s="62">
        <f>$J$403-EFEITO!$K$403*EFEITO!$Y$403</f>
        <v>0</v>
      </c>
      <c r="N403" s="62">
        <f ca="1">$K$403-EFEITO!$M$403*EFEITO!$Z$403</f>
        <v>0</v>
      </c>
      <c r="O403" s="62">
        <f>$L$403-EFEITO!$O$403*EFEITO!$AA$403</f>
        <v>0</v>
      </c>
      <c r="P403" s="45"/>
      <c r="Q403" s="45"/>
      <c r="R403" s="45"/>
      <c r="S403" s="45"/>
      <c r="T403" s="45"/>
      <c r="U403" s="45"/>
      <c r="V403" s="45"/>
      <c r="W403" s="45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41" t="s">
        <v>21</v>
      </c>
      <c r="B404" s="41" t="s">
        <v>33</v>
      </c>
      <c r="C404" s="41" t="s">
        <v>41</v>
      </c>
      <c r="D404" s="41" t="s">
        <v>40</v>
      </c>
      <c r="E404" s="41" t="s">
        <v>25</v>
      </c>
      <c r="F404" s="41" t="s">
        <v>25</v>
      </c>
      <c r="G404" s="41" t="s">
        <v>25</v>
      </c>
      <c r="H404" s="41" t="s">
        <v>42</v>
      </c>
      <c r="I404" s="61">
        <v>44531</v>
      </c>
      <c r="J404" s="62">
        <f>EFEITO!$J$404*EFEITO!$Y$404</f>
        <v>0</v>
      </c>
      <c r="K404" s="62">
        <f ca="1">EFEITO!$L$404*EFEITO!$Z$404</f>
        <v>289.30018435922744</v>
      </c>
      <c r="L404" s="62">
        <f>EFEITO!$N$404*EFEITO!$AA$404</f>
        <v>36.478249448011304</v>
      </c>
      <c r="M404" s="62">
        <f>$J$404-EFEITO!$K$404*EFEITO!$Y$404</f>
        <v>0</v>
      </c>
      <c r="N404" s="62">
        <f ca="1">$K$404-EFEITO!$M$404*EFEITO!$Z$404</f>
        <v>0</v>
      </c>
      <c r="O404" s="62">
        <f>$L$404-EFEITO!$O$404*EFEITO!$AA$404</f>
        <v>0</v>
      </c>
      <c r="P404" s="45"/>
      <c r="Q404" s="45"/>
      <c r="R404" s="45"/>
      <c r="S404" s="45"/>
      <c r="T404" s="45"/>
      <c r="U404" s="45"/>
      <c r="V404" s="45"/>
      <c r="W404" s="45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41" t="s">
        <v>21</v>
      </c>
      <c r="B405" s="41" t="s">
        <v>33</v>
      </c>
      <c r="C405" s="41" t="s">
        <v>41</v>
      </c>
      <c r="D405" s="41" t="s">
        <v>40</v>
      </c>
      <c r="E405" s="41" t="s">
        <v>25</v>
      </c>
      <c r="F405" s="41" t="s">
        <v>25</v>
      </c>
      <c r="G405" s="41" t="s">
        <v>25</v>
      </c>
      <c r="H405" s="41" t="s">
        <v>42</v>
      </c>
      <c r="I405" s="61">
        <v>44562</v>
      </c>
      <c r="J405" s="62">
        <f>EFEITO!$J$405*EFEITO!$Y$405</f>
        <v>0</v>
      </c>
      <c r="K405" s="62">
        <f ca="1">EFEITO!$L$405*EFEITO!$Z$405</f>
        <v>286.04962049002268</v>
      </c>
      <c r="L405" s="62">
        <f>EFEITO!$N$405*EFEITO!$AA$405</f>
        <v>36.068381476685339</v>
      </c>
      <c r="M405" s="62">
        <f>$J$405-EFEITO!$K$405*EFEITO!$Y$405</f>
        <v>0</v>
      </c>
      <c r="N405" s="62">
        <f ca="1">$K$405-EFEITO!$M$405*EFEITO!$Z$405</f>
        <v>0</v>
      </c>
      <c r="O405" s="62">
        <f>$L$405-EFEITO!$O$405*EFEITO!$AA$405</f>
        <v>0</v>
      </c>
      <c r="P405" s="45"/>
      <c r="Q405" s="45"/>
      <c r="R405" s="45"/>
      <c r="S405" s="45"/>
      <c r="T405" s="45"/>
      <c r="U405" s="45"/>
      <c r="V405" s="45"/>
      <c r="W405" s="45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41" t="s">
        <v>21</v>
      </c>
      <c r="B406" s="41" t="s">
        <v>33</v>
      </c>
      <c r="C406" s="41" t="s">
        <v>41</v>
      </c>
      <c r="D406" s="41" t="s">
        <v>40</v>
      </c>
      <c r="E406" s="41" t="s">
        <v>25</v>
      </c>
      <c r="F406" s="41" t="s">
        <v>25</v>
      </c>
      <c r="G406" s="41" t="s">
        <v>25</v>
      </c>
      <c r="H406" s="41" t="s">
        <v>42</v>
      </c>
      <c r="I406" s="61">
        <v>44593</v>
      </c>
      <c r="J406" s="62">
        <f>EFEITO!$J$406*EFEITO!$Y$406</f>
        <v>0</v>
      </c>
      <c r="K406" s="62">
        <f ca="1">EFEITO!$L$406*EFEITO!$Z$406</f>
        <v>224.2889069751314</v>
      </c>
      <c r="L406" s="62">
        <f>EFEITO!$N$406*EFEITO!$AA$406</f>
        <v>28.28089002149191</v>
      </c>
      <c r="M406" s="62">
        <f>$J$406-EFEITO!$K$406*EFEITO!$Y$406</f>
        <v>0</v>
      </c>
      <c r="N406" s="62">
        <f ca="1">$K$406-EFEITO!$M$406*EFEITO!$Z$406</f>
        <v>0</v>
      </c>
      <c r="O406" s="62">
        <f>$L$406-EFEITO!$O$406*EFEITO!$AA$406</f>
        <v>0</v>
      </c>
      <c r="P406" s="45"/>
      <c r="Q406" s="45"/>
      <c r="R406" s="45"/>
      <c r="S406" s="45"/>
      <c r="T406" s="45"/>
      <c r="U406" s="45"/>
      <c r="V406" s="45"/>
      <c r="W406" s="45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41" t="s">
        <v>21</v>
      </c>
      <c r="B407" s="41" t="s">
        <v>33</v>
      </c>
      <c r="C407" s="41" t="s">
        <v>41</v>
      </c>
      <c r="D407" s="41" t="s">
        <v>40</v>
      </c>
      <c r="E407" s="41" t="s">
        <v>25</v>
      </c>
      <c r="F407" s="41" t="s">
        <v>25</v>
      </c>
      <c r="G407" s="41" t="s">
        <v>25</v>
      </c>
      <c r="H407" s="41" t="s">
        <v>42</v>
      </c>
      <c r="I407" s="61">
        <v>44621</v>
      </c>
      <c r="J407" s="62">
        <f>EFEITO!$J$407*EFEITO!$Y$407</f>
        <v>0</v>
      </c>
      <c r="K407" s="62">
        <f ca="1">EFEITO!$L$407*EFEITO!$Z$407</f>
        <v>174.44692764732443</v>
      </c>
      <c r="L407" s="62">
        <f>EFEITO!$N$407*EFEITO!$AA$407</f>
        <v>21.996247794493708</v>
      </c>
      <c r="M407" s="62">
        <f>$J$407-EFEITO!$K$407*EFEITO!$Y$407</f>
        <v>0</v>
      </c>
      <c r="N407" s="62">
        <f ca="1">$K$407-EFEITO!$M$407*EFEITO!$Z$407</f>
        <v>0</v>
      </c>
      <c r="O407" s="62">
        <f>$L$407-EFEITO!$O$407*EFEITO!$AA$407</f>
        <v>0</v>
      </c>
      <c r="P407" s="45"/>
      <c r="Q407" s="45"/>
      <c r="R407" s="45"/>
      <c r="S407" s="45"/>
      <c r="T407" s="45"/>
      <c r="U407" s="45"/>
      <c r="V407" s="45"/>
      <c r="W407" s="45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41" t="s">
        <v>21</v>
      </c>
      <c r="B408" s="41" t="s">
        <v>33</v>
      </c>
      <c r="C408" s="41" t="s">
        <v>41</v>
      </c>
      <c r="D408" s="41" t="s">
        <v>40</v>
      </c>
      <c r="E408" s="41" t="s">
        <v>25</v>
      </c>
      <c r="F408" s="41" t="s">
        <v>25</v>
      </c>
      <c r="G408" s="41" t="s">
        <v>25</v>
      </c>
      <c r="H408" s="41" t="s">
        <v>42</v>
      </c>
      <c r="I408" s="61">
        <v>44652</v>
      </c>
      <c r="J408" s="62">
        <f>EFEITO!$J$408*EFEITO!$Y$408</f>
        <v>0</v>
      </c>
      <c r="K408" s="62">
        <f ca="1">EFEITO!$L$408*EFEITO!$Z$408</f>
        <v>108.35212897349344</v>
      </c>
      <c r="L408" s="62">
        <f>EFEITO!$N$408*EFEITO!$AA$408</f>
        <v>13.662265710865658</v>
      </c>
      <c r="M408" s="62">
        <f>$J$408-EFEITO!$K$408*EFEITO!$Y$408</f>
        <v>0</v>
      </c>
      <c r="N408" s="62">
        <f ca="1">$K$408-EFEITO!$M$408*EFEITO!$Z$408</f>
        <v>0</v>
      </c>
      <c r="O408" s="62">
        <f>$L$408-EFEITO!$O$408*EFEITO!$AA$408</f>
        <v>0</v>
      </c>
      <c r="P408" s="45"/>
      <c r="Q408" s="45"/>
      <c r="R408" s="45"/>
      <c r="S408" s="45"/>
      <c r="T408" s="45"/>
      <c r="U408" s="45"/>
      <c r="V408" s="45"/>
      <c r="W408" s="45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41" t="s">
        <v>21</v>
      </c>
      <c r="B409" s="41" t="s">
        <v>33</v>
      </c>
      <c r="C409" s="41" t="s">
        <v>41</v>
      </c>
      <c r="D409" s="41" t="s">
        <v>40</v>
      </c>
      <c r="E409" s="41" t="s">
        <v>25</v>
      </c>
      <c r="F409" s="41" t="s">
        <v>25</v>
      </c>
      <c r="G409" s="41" t="s">
        <v>25</v>
      </c>
      <c r="H409" s="41" t="s">
        <v>42</v>
      </c>
      <c r="I409" s="61">
        <v>44682</v>
      </c>
      <c r="J409" s="62">
        <f>EFEITO!$J$409*EFEITO!$Y$409</f>
        <v>0</v>
      </c>
      <c r="K409" s="62">
        <f ca="1">EFEITO!$L$409*EFEITO!$Z$409</f>
        <v>112.68621413243316</v>
      </c>
      <c r="L409" s="62">
        <f>EFEITO!$N$409*EFEITO!$AA$409</f>
        <v>14.208756339300283</v>
      </c>
      <c r="M409" s="62">
        <f>$J$409-EFEITO!$K$409*EFEITO!$Y$409</f>
        <v>0</v>
      </c>
      <c r="N409" s="62">
        <f ca="1">$K$409-EFEITO!$M$409*EFEITO!$Z$409</f>
        <v>0</v>
      </c>
      <c r="O409" s="62">
        <f>$L$409-EFEITO!$O$409*EFEITO!$AA$409</f>
        <v>0</v>
      </c>
      <c r="P409" s="45"/>
      <c r="Q409" s="45"/>
      <c r="R409" s="45"/>
      <c r="S409" s="45"/>
      <c r="T409" s="45"/>
      <c r="U409" s="45"/>
      <c r="V409" s="45"/>
      <c r="W409" s="45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41" t="s">
        <v>21</v>
      </c>
      <c r="B410" s="41" t="s">
        <v>33</v>
      </c>
      <c r="C410" s="41" t="s">
        <v>41</v>
      </c>
      <c r="D410" s="41" t="s">
        <v>40</v>
      </c>
      <c r="E410" s="41" t="s">
        <v>25</v>
      </c>
      <c r="F410" s="41" t="s">
        <v>25</v>
      </c>
      <c r="G410" s="41" t="s">
        <v>25</v>
      </c>
      <c r="H410" s="41" t="s">
        <v>42</v>
      </c>
      <c r="I410" s="61">
        <v>44713</v>
      </c>
      <c r="J410" s="62">
        <f>EFEITO!$J$410*EFEITO!$Y$410</f>
        <v>0</v>
      </c>
      <c r="K410" s="62">
        <f ca="1">EFEITO!$L$410*EFEITO!$Z$410</f>
        <v>119.18734187084277</v>
      </c>
      <c r="L410" s="62">
        <f>EFEITO!$N$410*EFEITO!$AA$410</f>
        <v>15.028492281952223</v>
      </c>
      <c r="M410" s="62">
        <f>$J$410-EFEITO!$K$410*EFEITO!$Y$410</f>
        <v>0</v>
      </c>
      <c r="N410" s="62">
        <f ca="1">$K$410-EFEITO!$M$410*EFEITO!$Z$410</f>
        <v>0</v>
      </c>
      <c r="O410" s="62">
        <f>$L$410-EFEITO!$O$410*EFEITO!$AA$410</f>
        <v>0</v>
      </c>
      <c r="P410" s="45"/>
      <c r="Q410" s="45"/>
      <c r="R410" s="45"/>
      <c r="S410" s="45"/>
      <c r="T410" s="45"/>
      <c r="U410" s="45"/>
      <c r="V410" s="45"/>
      <c r="W410" s="45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41" t="s">
        <v>21</v>
      </c>
      <c r="B411" s="41" t="s">
        <v>33</v>
      </c>
      <c r="C411" s="41" t="s">
        <v>41</v>
      </c>
      <c r="D411" s="41" t="s">
        <v>40</v>
      </c>
      <c r="E411" s="41" t="s">
        <v>25</v>
      </c>
      <c r="F411" s="41" t="s">
        <v>25</v>
      </c>
      <c r="G411" s="41" t="s">
        <v>25</v>
      </c>
      <c r="H411" s="41" t="s">
        <v>42</v>
      </c>
      <c r="I411" s="61">
        <v>44743</v>
      </c>
      <c r="J411" s="62">
        <f>EFEITO!$J$411*EFEITO!$Y$411</f>
        <v>0</v>
      </c>
      <c r="K411" s="62">
        <f ca="1">EFEITO!$L$411*EFEITO!$Z$411</f>
        <v>95.349873496674206</v>
      </c>
      <c r="L411" s="62">
        <f>EFEITO!$N$411*EFEITO!$AA$411</f>
        <v>12.022793825561777</v>
      </c>
      <c r="M411" s="62">
        <f>$J$411-EFEITO!$K$411*EFEITO!$Y$411</f>
        <v>0</v>
      </c>
      <c r="N411" s="62">
        <f ca="1">$K$411-EFEITO!$M$411*EFEITO!$Z$411</f>
        <v>0</v>
      </c>
      <c r="O411" s="62">
        <f>$L$411-EFEITO!$O$411*EFEITO!$AA$411</f>
        <v>0</v>
      </c>
      <c r="P411" s="45"/>
      <c r="Q411" s="45"/>
      <c r="R411" s="45"/>
      <c r="S411" s="45"/>
      <c r="T411" s="45"/>
      <c r="U411" s="45"/>
      <c r="V411" s="45"/>
      <c r="W411" s="45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41" t="s">
        <v>55</v>
      </c>
      <c r="B412" s="41" t="s">
        <v>33</v>
      </c>
      <c r="C412" s="41" t="s">
        <v>41</v>
      </c>
      <c r="D412" s="41" t="s">
        <v>40</v>
      </c>
      <c r="E412" s="41" t="s">
        <v>25</v>
      </c>
      <c r="F412" s="41" t="s">
        <v>25</v>
      </c>
      <c r="G412" s="41" t="s">
        <v>25</v>
      </c>
      <c r="H412" s="41" t="s">
        <v>42</v>
      </c>
      <c r="I412" s="61">
        <v>44774</v>
      </c>
      <c r="J412" s="62">
        <f>EFEITO!$J$412*EFEITO!$Y$412</f>
        <v>0</v>
      </c>
      <c r="K412" s="62">
        <f ca="1">EFEITO!$L$412*EFEITO!$Z$412</f>
        <v>95.349873496674206</v>
      </c>
      <c r="L412" s="62">
        <f>EFEITO!$N$412*EFEITO!$AA$412</f>
        <v>12.022793825561777</v>
      </c>
      <c r="M412" s="62">
        <f>$J$412-EFEITO!$K$412*EFEITO!$Y$412</f>
        <v>0</v>
      </c>
      <c r="N412" s="62">
        <f ca="1">$K$412-EFEITO!$M$412*EFEITO!$Z$412</f>
        <v>0</v>
      </c>
      <c r="O412" s="62">
        <f>$L$412-EFEITO!$O$412*EFEITO!$AA$412</f>
        <v>0</v>
      </c>
      <c r="P412" s="45"/>
      <c r="Q412" s="45"/>
      <c r="R412" s="45"/>
      <c r="S412" s="45"/>
      <c r="T412" s="45"/>
      <c r="U412" s="45"/>
      <c r="V412" s="45"/>
      <c r="W412" s="45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41" t="s">
        <v>21</v>
      </c>
      <c r="B413" s="41" t="s">
        <v>33</v>
      </c>
      <c r="C413" s="41" t="s">
        <v>41</v>
      </c>
      <c r="D413" s="41" t="s">
        <v>40</v>
      </c>
      <c r="E413" s="41" t="s">
        <v>25</v>
      </c>
      <c r="F413" s="41" t="s">
        <v>25</v>
      </c>
      <c r="G413" s="41" t="s">
        <v>25</v>
      </c>
      <c r="H413" s="41" t="s">
        <v>37</v>
      </c>
      <c r="I413" s="61">
        <v>44440</v>
      </c>
      <c r="J413" s="62">
        <f>EFEITO!$J$413*EFEITO!$Y$413</f>
        <v>0</v>
      </c>
      <c r="K413" s="62">
        <f ca="1">EFEITO!$L$413*EFEITO!$Z$413</f>
        <v>126.1926792684625</v>
      </c>
      <c r="L413" s="62">
        <f>EFEITO!$N$413*EFEITO!$AA$413</f>
        <v>9.9734539689319295</v>
      </c>
      <c r="M413" s="62">
        <f>$J$413-EFEITO!$K$413*EFEITO!$Y$413</f>
        <v>0</v>
      </c>
      <c r="N413" s="62">
        <f ca="1">$K$413-EFEITO!$M$413*EFEITO!$Z$413</f>
        <v>0</v>
      </c>
      <c r="O413" s="62">
        <f>$L$413-EFEITO!$O$413*EFEITO!$AA$413</f>
        <v>0</v>
      </c>
      <c r="P413" s="45"/>
      <c r="Q413" s="45"/>
      <c r="R413" s="45"/>
      <c r="S413" s="45"/>
      <c r="T413" s="45"/>
      <c r="U413" s="45"/>
      <c r="V413" s="45"/>
      <c r="W413" s="45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41" t="s">
        <v>21</v>
      </c>
      <c r="B414" s="41" t="s">
        <v>33</v>
      </c>
      <c r="C414" s="41" t="s">
        <v>41</v>
      </c>
      <c r="D414" s="41" t="s">
        <v>40</v>
      </c>
      <c r="E414" s="41" t="s">
        <v>25</v>
      </c>
      <c r="F414" s="41" t="s">
        <v>25</v>
      </c>
      <c r="G414" s="41" t="s">
        <v>25</v>
      </c>
      <c r="H414" s="41" t="s">
        <v>37</v>
      </c>
      <c r="I414" s="61">
        <v>44470</v>
      </c>
      <c r="J414" s="62">
        <f>EFEITO!$J$414*EFEITO!$Y$414</f>
        <v>0</v>
      </c>
      <c r="K414" s="62">
        <f ca="1">EFEITO!$L$414*EFEITO!$Z$414</f>
        <v>197.06801967951679</v>
      </c>
      <c r="L414" s="62">
        <f>EFEITO!$N$414*EFEITO!$AA$414</f>
        <v>15.574982910386849</v>
      </c>
      <c r="M414" s="62">
        <f>$J$414-EFEITO!$K$414*EFEITO!$Y$414</f>
        <v>0</v>
      </c>
      <c r="N414" s="62">
        <f ca="1">$K$414-EFEITO!$M$414*EFEITO!$Z$414</f>
        <v>0</v>
      </c>
      <c r="O414" s="62">
        <f>$L$414-EFEITO!$O$414*EFEITO!$AA$414</f>
        <v>0</v>
      </c>
      <c r="P414" s="45"/>
      <c r="Q414" s="45"/>
      <c r="R414" s="45"/>
      <c r="S414" s="45"/>
      <c r="T414" s="45"/>
      <c r="U414" s="45"/>
      <c r="V414" s="45"/>
      <c r="W414" s="45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41" t="s">
        <v>21</v>
      </c>
      <c r="B415" s="41" t="s">
        <v>33</v>
      </c>
      <c r="C415" s="41" t="s">
        <v>41</v>
      </c>
      <c r="D415" s="41" t="s">
        <v>40</v>
      </c>
      <c r="E415" s="41" t="s">
        <v>25</v>
      </c>
      <c r="F415" s="41" t="s">
        <v>25</v>
      </c>
      <c r="G415" s="41" t="s">
        <v>25</v>
      </c>
      <c r="H415" s="41" t="s">
        <v>37</v>
      </c>
      <c r="I415" s="61">
        <v>44501</v>
      </c>
      <c r="J415" s="62">
        <f>EFEITO!$J$415*EFEITO!$Y$415</f>
        <v>0</v>
      </c>
      <c r="K415" s="62">
        <f ca="1">EFEITO!$L$415*EFEITO!$Z$415</f>
        <v>127.92134610775651</v>
      </c>
      <c r="L415" s="62">
        <f>EFEITO!$N$415*EFEITO!$AA$415</f>
        <v>10.110076626040586</v>
      </c>
      <c r="M415" s="62">
        <f>$J$415-EFEITO!$K$415*EFEITO!$Y$415</f>
        <v>0</v>
      </c>
      <c r="N415" s="62">
        <f ca="1">$K$415-EFEITO!$M$415*EFEITO!$Z$415</f>
        <v>0</v>
      </c>
      <c r="O415" s="62">
        <f>$L$415-EFEITO!$O$415*EFEITO!$AA$415</f>
        <v>0</v>
      </c>
      <c r="P415" s="45"/>
      <c r="Q415" s="45"/>
      <c r="R415" s="45"/>
      <c r="S415" s="45"/>
      <c r="T415" s="45"/>
      <c r="U415" s="45"/>
      <c r="V415" s="45"/>
      <c r="W415" s="45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41" t="s">
        <v>21</v>
      </c>
      <c r="B416" s="41" t="s">
        <v>33</v>
      </c>
      <c r="C416" s="41" t="s">
        <v>41</v>
      </c>
      <c r="D416" s="41" t="s">
        <v>40</v>
      </c>
      <c r="E416" s="41" t="s">
        <v>25</v>
      </c>
      <c r="F416" s="41" t="s">
        <v>25</v>
      </c>
      <c r="G416" s="41" t="s">
        <v>25</v>
      </c>
      <c r="H416" s="41" t="s">
        <v>37</v>
      </c>
      <c r="I416" s="61">
        <v>44531</v>
      </c>
      <c r="J416" s="62">
        <f>EFEITO!$J$416*EFEITO!$Y$416</f>
        <v>0</v>
      </c>
      <c r="K416" s="62">
        <f ca="1">EFEITO!$L$416*EFEITO!$Z$416</f>
        <v>186.69601864375275</v>
      </c>
      <c r="L416" s="62">
        <f>EFEITO!$N$416*EFEITO!$AA$416</f>
        <v>14.755246967734909</v>
      </c>
      <c r="M416" s="62">
        <f>$J$416-EFEITO!$K$416*EFEITO!$Y$416</f>
        <v>0</v>
      </c>
      <c r="N416" s="62">
        <f ca="1">$K$416-EFEITO!$M$416*EFEITO!$Z$416</f>
        <v>0</v>
      </c>
      <c r="O416" s="62">
        <f>$L$416-EFEITO!$O$416*EFEITO!$AA$416</f>
        <v>0</v>
      </c>
      <c r="P416" s="45"/>
      <c r="Q416" s="45"/>
      <c r="R416" s="45"/>
      <c r="S416" s="45"/>
      <c r="T416" s="45"/>
      <c r="U416" s="45"/>
      <c r="V416" s="45"/>
      <c r="W416" s="45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41" t="s">
        <v>21</v>
      </c>
      <c r="B417" s="41" t="s">
        <v>33</v>
      </c>
      <c r="C417" s="41" t="s">
        <v>41</v>
      </c>
      <c r="D417" s="41" t="s">
        <v>40</v>
      </c>
      <c r="E417" s="41" t="s">
        <v>25</v>
      </c>
      <c r="F417" s="41" t="s">
        <v>25</v>
      </c>
      <c r="G417" s="41" t="s">
        <v>25</v>
      </c>
      <c r="H417" s="41" t="s">
        <v>37</v>
      </c>
      <c r="I417" s="61">
        <v>44562</v>
      </c>
      <c r="J417" s="62">
        <f>EFEITO!$J$417*EFEITO!$Y$417</f>
        <v>0</v>
      </c>
      <c r="K417" s="62">
        <f ca="1">EFEITO!$L$417*EFEITO!$Z$417</f>
        <v>217.81202175104488</v>
      </c>
      <c r="L417" s="62">
        <f>EFEITO!$N$417*EFEITO!$AA$417</f>
        <v>17.214454795690727</v>
      </c>
      <c r="M417" s="62">
        <f>$J$417-EFEITO!$K$417*EFEITO!$Y$417</f>
        <v>0</v>
      </c>
      <c r="N417" s="62">
        <f ca="1">$K$417-EFEITO!$M$417*EFEITO!$Z$417</f>
        <v>0</v>
      </c>
      <c r="O417" s="62">
        <f>$L$417-EFEITO!$O$417*EFEITO!$AA$417</f>
        <v>0</v>
      </c>
      <c r="P417" s="45"/>
      <c r="Q417" s="45"/>
      <c r="R417" s="45"/>
      <c r="S417" s="45"/>
      <c r="T417" s="45"/>
      <c r="U417" s="45"/>
      <c r="V417" s="45"/>
      <c r="W417" s="45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41" t="s">
        <v>21</v>
      </c>
      <c r="B418" s="41" t="s">
        <v>33</v>
      </c>
      <c r="C418" s="41" t="s">
        <v>41</v>
      </c>
      <c r="D418" s="41" t="s">
        <v>40</v>
      </c>
      <c r="E418" s="41" t="s">
        <v>25</v>
      </c>
      <c r="F418" s="41" t="s">
        <v>25</v>
      </c>
      <c r="G418" s="41" t="s">
        <v>25</v>
      </c>
      <c r="H418" s="41" t="s">
        <v>37</v>
      </c>
      <c r="I418" s="61">
        <v>44593</v>
      </c>
      <c r="J418" s="62">
        <f>EFEITO!$J$418*EFEITO!$Y$418</f>
        <v>0</v>
      </c>
      <c r="K418" s="62">
        <f ca="1">EFEITO!$L$418*EFEITO!$Z$418</f>
        <v>150.39401501857859</v>
      </c>
      <c r="L418" s="62">
        <f>EFEITO!$N$418*EFEITO!$AA$418</f>
        <v>11.886171168453121</v>
      </c>
      <c r="M418" s="62">
        <f>$J$418-EFEITO!$K$418*EFEITO!$Y$418</f>
        <v>0</v>
      </c>
      <c r="N418" s="62">
        <f ca="1">$K$418-EFEITO!$M$418*EFEITO!$Z$418</f>
        <v>0</v>
      </c>
      <c r="O418" s="62">
        <f>$L$418-EFEITO!$O$418*EFEITO!$AA$418</f>
        <v>0</v>
      </c>
      <c r="P418" s="45"/>
      <c r="Q418" s="45"/>
      <c r="R418" s="45"/>
      <c r="S418" s="45"/>
      <c r="T418" s="45"/>
      <c r="U418" s="45"/>
      <c r="V418" s="45"/>
      <c r="W418" s="45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41" t="s">
        <v>21</v>
      </c>
      <c r="B419" s="41" t="s">
        <v>33</v>
      </c>
      <c r="C419" s="41" t="s">
        <v>41</v>
      </c>
      <c r="D419" s="41" t="s">
        <v>40</v>
      </c>
      <c r="E419" s="41" t="s">
        <v>25</v>
      </c>
      <c r="F419" s="41" t="s">
        <v>25</v>
      </c>
      <c r="G419" s="41" t="s">
        <v>25</v>
      </c>
      <c r="H419" s="41" t="s">
        <v>37</v>
      </c>
      <c r="I419" s="61">
        <v>44621</v>
      </c>
      <c r="J419" s="62">
        <f>EFEITO!$J$419*EFEITO!$Y$419</f>
        <v>0</v>
      </c>
      <c r="K419" s="62">
        <f ca="1">EFEITO!$L$419*EFEITO!$Z$419</f>
        <v>141.75068082210856</v>
      </c>
      <c r="L419" s="62">
        <f>EFEITO!$N$419*EFEITO!$AA$419</f>
        <v>11.203057882909839</v>
      </c>
      <c r="M419" s="62">
        <f>$J$419-EFEITO!$K$419*EFEITO!$Y$419</f>
        <v>0</v>
      </c>
      <c r="N419" s="62">
        <f ca="1">$K$419-EFEITO!$M$419*EFEITO!$Z$419</f>
        <v>0</v>
      </c>
      <c r="O419" s="62">
        <f>$L$419-EFEITO!$O$419*EFEITO!$AA$419</f>
        <v>0</v>
      </c>
      <c r="P419" s="45"/>
      <c r="Q419" s="45"/>
      <c r="R419" s="45"/>
      <c r="S419" s="45"/>
      <c r="T419" s="45"/>
      <c r="U419" s="45"/>
      <c r="V419" s="45"/>
      <c r="W419" s="45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41" t="s">
        <v>21</v>
      </c>
      <c r="B420" s="41" t="s">
        <v>33</v>
      </c>
      <c r="C420" s="41" t="s">
        <v>41</v>
      </c>
      <c r="D420" s="41" t="s">
        <v>40</v>
      </c>
      <c r="E420" s="41" t="s">
        <v>25</v>
      </c>
      <c r="F420" s="41" t="s">
        <v>25</v>
      </c>
      <c r="G420" s="41" t="s">
        <v>25</v>
      </c>
      <c r="H420" s="41" t="s">
        <v>37</v>
      </c>
      <c r="I420" s="61">
        <v>44652</v>
      </c>
      <c r="J420" s="62">
        <f>EFEITO!$J$420*EFEITO!$Y$420</f>
        <v>0</v>
      </c>
      <c r="K420" s="62">
        <f ca="1">EFEITO!$L$420*EFEITO!$Z$420</f>
        <v>114.09201139340446</v>
      </c>
      <c r="L420" s="62">
        <f>EFEITO!$N$420*EFEITO!$AA$420</f>
        <v>9.0170953691713347</v>
      </c>
      <c r="M420" s="62">
        <f>$J$420-EFEITO!$K$420*EFEITO!$Y$420</f>
        <v>0</v>
      </c>
      <c r="N420" s="62">
        <f ca="1">$K$420-EFEITO!$M$420*EFEITO!$Z$420</f>
        <v>0</v>
      </c>
      <c r="O420" s="62">
        <f>$L$420-EFEITO!$O$420*EFEITO!$AA$420</f>
        <v>0</v>
      </c>
      <c r="P420" s="45"/>
      <c r="Q420" s="45"/>
      <c r="R420" s="45"/>
      <c r="S420" s="45"/>
      <c r="T420" s="45"/>
      <c r="U420" s="45"/>
      <c r="V420" s="45"/>
      <c r="W420" s="45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41" t="s">
        <v>21</v>
      </c>
      <c r="B421" s="41" t="s">
        <v>33</v>
      </c>
      <c r="C421" s="41" t="s">
        <v>41</v>
      </c>
      <c r="D421" s="41" t="s">
        <v>40</v>
      </c>
      <c r="E421" s="41" t="s">
        <v>25</v>
      </c>
      <c r="F421" s="41" t="s">
        <v>25</v>
      </c>
      <c r="G421" s="41" t="s">
        <v>25</v>
      </c>
      <c r="H421" s="41" t="s">
        <v>37</v>
      </c>
      <c r="I421" s="61">
        <v>44682</v>
      </c>
      <c r="J421" s="62">
        <f>EFEITO!$J$421*EFEITO!$Y$421</f>
        <v>0</v>
      </c>
      <c r="K421" s="62">
        <f ca="1">EFEITO!$L$421*EFEITO!$Z$421</f>
        <v>146.9366813399906</v>
      </c>
      <c r="L421" s="62">
        <f>EFEITO!$N$421*EFEITO!$AA$421</f>
        <v>11.61292585423581</v>
      </c>
      <c r="M421" s="62">
        <f>$J$421-EFEITO!$K$421*EFEITO!$Y$421</f>
        <v>0</v>
      </c>
      <c r="N421" s="62">
        <f ca="1">$K$421-EFEITO!$M$421*EFEITO!$Z$421</f>
        <v>0</v>
      </c>
      <c r="O421" s="62">
        <f>$L$421-EFEITO!$O$421*EFEITO!$AA$421</f>
        <v>0</v>
      </c>
      <c r="P421" s="45"/>
      <c r="Q421" s="45"/>
      <c r="R421" s="45"/>
      <c r="S421" s="45"/>
      <c r="T421" s="45"/>
      <c r="U421" s="45"/>
      <c r="V421" s="45"/>
      <c r="W421" s="45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41" t="s">
        <v>21</v>
      </c>
      <c r="B422" s="41" t="s">
        <v>33</v>
      </c>
      <c r="C422" s="41" t="s">
        <v>41</v>
      </c>
      <c r="D422" s="41" t="s">
        <v>40</v>
      </c>
      <c r="E422" s="41" t="s">
        <v>25</v>
      </c>
      <c r="F422" s="41" t="s">
        <v>25</v>
      </c>
      <c r="G422" s="41" t="s">
        <v>25</v>
      </c>
      <c r="H422" s="41" t="s">
        <v>37</v>
      </c>
      <c r="I422" s="61">
        <v>44713</v>
      </c>
      <c r="J422" s="62">
        <f>EFEITO!$J$422*EFEITO!$Y$422</f>
        <v>0</v>
      </c>
      <c r="K422" s="62">
        <f ca="1">EFEITO!$L$422*EFEITO!$Z$422</f>
        <v>164.22334973293064</v>
      </c>
      <c r="L422" s="62">
        <f>EFEITO!$N$422*EFEITO!$AA$422</f>
        <v>12.979152425322374</v>
      </c>
      <c r="M422" s="62">
        <f>$J$422-EFEITO!$K$422*EFEITO!$Y$422</f>
        <v>0</v>
      </c>
      <c r="N422" s="62">
        <f ca="1">$K$422-EFEITO!$M$422*EFEITO!$Z$422</f>
        <v>0</v>
      </c>
      <c r="O422" s="62">
        <f>$L$422-EFEITO!$O$422*EFEITO!$AA$422</f>
        <v>0</v>
      </c>
      <c r="P422" s="45"/>
      <c r="Q422" s="45"/>
      <c r="R422" s="45"/>
      <c r="S422" s="45"/>
      <c r="T422" s="45"/>
      <c r="U422" s="45"/>
      <c r="V422" s="45"/>
      <c r="W422" s="45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41" t="s">
        <v>21</v>
      </c>
      <c r="B423" s="41" t="s">
        <v>33</v>
      </c>
      <c r="C423" s="41" t="s">
        <v>41</v>
      </c>
      <c r="D423" s="41" t="s">
        <v>40</v>
      </c>
      <c r="E423" s="41" t="s">
        <v>25</v>
      </c>
      <c r="F423" s="41" t="s">
        <v>25</v>
      </c>
      <c r="G423" s="41" t="s">
        <v>25</v>
      </c>
      <c r="H423" s="41" t="s">
        <v>37</v>
      </c>
      <c r="I423" s="61">
        <v>44743</v>
      </c>
      <c r="J423" s="62">
        <f>EFEITO!$J$423*EFEITO!$Y$423</f>
        <v>0</v>
      </c>
      <c r="K423" s="62">
        <f ca="1">EFEITO!$L$423*EFEITO!$Z$423</f>
        <v>133.10734662563854</v>
      </c>
      <c r="L423" s="62">
        <f>EFEITO!$N$423*EFEITO!$AA$423</f>
        <v>10.519944597366555</v>
      </c>
      <c r="M423" s="62">
        <f>$J$423-EFEITO!$K$423*EFEITO!$Y$423</f>
        <v>0</v>
      </c>
      <c r="N423" s="62">
        <f ca="1">$K$423-EFEITO!$M$423*EFEITO!$Z$423</f>
        <v>0</v>
      </c>
      <c r="O423" s="62">
        <f>$L$423-EFEITO!$O$423*EFEITO!$AA$423</f>
        <v>0</v>
      </c>
      <c r="P423" s="45"/>
      <c r="Q423" s="45"/>
      <c r="R423" s="45"/>
      <c r="S423" s="45"/>
      <c r="T423" s="45"/>
      <c r="U423" s="45"/>
      <c r="V423" s="45"/>
      <c r="W423" s="45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41" t="s">
        <v>55</v>
      </c>
      <c r="B424" s="41" t="s">
        <v>33</v>
      </c>
      <c r="C424" s="41" t="s">
        <v>41</v>
      </c>
      <c r="D424" s="41" t="s">
        <v>40</v>
      </c>
      <c r="E424" s="41" t="s">
        <v>25</v>
      </c>
      <c r="F424" s="41" t="s">
        <v>25</v>
      </c>
      <c r="G424" s="41" t="s">
        <v>25</v>
      </c>
      <c r="H424" s="41" t="s">
        <v>37</v>
      </c>
      <c r="I424" s="61">
        <v>44774</v>
      </c>
      <c r="J424" s="62">
        <f>EFEITO!$J$424*EFEITO!$Y$424</f>
        <v>0</v>
      </c>
      <c r="K424" s="62">
        <f ca="1">EFEITO!$L$424*EFEITO!$Z$424</f>
        <v>133.10734662563854</v>
      </c>
      <c r="L424" s="62">
        <f>EFEITO!$N$424*EFEITO!$AA$424</f>
        <v>10.519944597366555</v>
      </c>
      <c r="M424" s="62">
        <f>$J$424-EFEITO!$K$424*EFEITO!$Y$424</f>
        <v>0</v>
      </c>
      <c r="N424" s="62">
        <f ca="1">$K$424-EFEITO!$M$424*EFEITO!$Z$424</f>
        <v>0</v>
      </c>
      <c r="O424" s="62">
        <f>$L$424-EFEITO!$O$424*EFEITO!$AA$424</f>
        <v>0</v>
      </c>
      <c r="P424" s="45"/>
      <c r="Q424" s="45"/>
      <c r="R424" s="45"/>
      <c r="S424" s="45"/>
      <c r="T424" s="45"/>
      <c r="U424" s="45"/>
      <c r="V424" s="45"/>
      <c r="W424" s="45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41" t="s">
        <v>21</v>
      </c>
      <c r="B425" s="41" t="s">
        <v>33</v>
      </c>
      <c r="C425" s="41" t="s">
        <v>23</v>
      </c>
      <c r="D425" s="41" t="s">
        <v>40</v>
      </c>
      <c r="E425" s="41" t="s">
        <v>25</v>
      </c>
      <c r="F425" s="41" t="s">
        <v>25</v>
      </c>
      <c r="G425" s="41" t="s">
        <v>25</v>
      </c>
      <c r="H425" s="41" t="s">
        <v>25</v>
      </c>
      <c r="I425" s="61">
        <v>44440</v>
      </c>
      <c r="J425" s="62">
        <f>EFEITO!$J$425*EFEITO!$Y$425</f>
        <v>0</v>
      </c>
      <c r="K425" s="62">
        <f ca="1">EFEITO!$L$425*EFEITO!$Z$425</f>
        <v>389858.55788576859</v>
      </c>
      <c r="L425" s="62">
        <f>EFEITO!$N$425*EFEITO!$AA$425</f>
        <v>90244.593303894901</v>
      </c>
      <c r="M425" s="62">
        <f>$J$425-EFEITO!$K$425*EFEITO!$Y$425</f>
        <v>0</v>
      </c>
      <c r="N425" s="62">
        <f ca="1">$K$425-EFEITO!$M$425*EFEITO!$Z$425</f>
        <v>0</v>
      </c>
      <c r="O425" s="62">
        <f>$L$425-EFEITO!$O$425*EFEITO!$AA$425</f>
        <v>0</v>
      </c>
      <c r="P425" s="45"/>
      <c r="Q425" s="45"/>
      <c r="R425" s="45"/>
      <c r="S425" s="45"/>
      <c r="T425" s="45"/>
      <c r="U425" s="45"/>
      <c r="V425" s="45"/>
      <c r="W425" s="45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41" t="s">
        <v>27</v>
      </c>
      <c r="B426" s="41" t="s">
        <v>33</v>
      </c>
      <c r="C426" s="41" t="s">
        <v>23</v>
      </c>
      <c r="D426" s="41" t="s">
        <v>40</v>
      </c>
      <c r="E426" s="41" t="s">
        <v>25</v>
      </c>
      <c r="F426" s="41" t="s">
        <v>25</v>
      </c>
      <c r="G426" s="41" t="s">
        <v>25</v>
      </c>
      <c r="H426" s="41" t="s">
        <v>25</v>
      </c>
      <c r="I426" s="61">
        <v>44440</v>
      </c>
      <c r="J426" s="62">
        <f>EFEITO!$J$426*EFEITO!$Y$426</f>
        <v>0</v>
      </c>
      <c r="K426" s="62">
        <f ca="1">EFEITO!$L$426*EFEITO!$Z$426</f>
        <v>-92.073193301500595</v>
      </c>
      <c r="L426" s="62">
        <f>EFEITO!$N$426*EFEITO!$AA$426</f>
        <v>-21.313134508950423</v>
      </c>
      <c r="M426" s="62">
        <f>$J$426-EFEITO!$K$426*EFEITO!$Y$426</f>
        <v>0</v>
      </c>
      <c r="N426" s="62">
        <f ca="1">$K$426-EFEITO!$M$426*EFEITO!$Z$426</f>
        <v>0</v>
      </c>
      <c r="O426" s="62">
        <f>$L$426-EFEITO!$O$426*EFEITO!$AA$426</f>
        <v>0</v>
      </c>
      <c r="P426" s="45"/>
      <c r="Q426" s="45"/>
      <c r="R426" s="45"/>
      <c r="S426" s="45"/>
      <c r="T426" s="45"/>
      <c r="U426" s="45"/>
      <c r="V426" s="45"/>
      <c r="W426" s="45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41" t="s">
        <v>28</v>
      </c>
      <c r="B427" s="41" t="s">
        <v>33</v>
      </c>
      <c r="C427" s="41" t="s">
        <v>23</v>
      </c>
      <c r="D427" s="41" t="s">
        <v>40</v>
      </c>
      <c r="E427" s="41" t="s">
        <v>25</v>
      </c>
      <c r="F427" s="41" t="s">
        <v>25</v>
      </c>
      <c r="G427" s="41" t="s">
        <v>25</v>
      </c>
      <c r="H427" s="41" t="s">
        <v>25</v>
      </c>
      <c r="I427" s="61">
        <v>44440</v>
      </c>
      <c r="J427" s="62">
        <f>EFEITO!$J$427*EFEITO!$Y$427</f>
        <v>0</v>
      </c>
      <c r="K427" s="62">
        <f ca="1">EFEITO!$L$427*EFEITO!$Z$427</f>
        <v>14996.126252593122</v>
      </c>
      <c r="L427" s="62">
        <f>EFEITO!$N$427*EFEITO!$AA$427</f>
        <v>3471.3084718167461</v>
      </c>
      <c r="M427" s="62">
        <f>$J$427-EFEITO!$K$427*EFEITO!$Y$427</f>
        <v>0</v>
      </c>
      <c r="N427" s="62">
        <f ca="1">$K$427-EFEITO!$M$427*EFEITO!$Z$427</f>
        <v>0</v>
      </c>
      <c r="O427" s="62">
        <f>$L$427-EFEITO!$O$427*EFEITO!$AA$427</f>
        <v>0</v>
      </c>
      <c r="P427" s="45"/>
      <c r="Q427" s="45"/>
      <c r="R427" s="45"/>
      <c r="S427" s="45"/>
      <c r="T427" s="45"/>
      <c r="U427" s="45"/>
      <c r="V427" s="45"/>
      <c r="W427" s="45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41" t="s">
        <v>21</v>
      </c>
      <c r="B428" s="41" t="s">
        <v>33</v>
      </c>
      <c r="C428" s="41" t="s">
        <v>23</v>
      </c>
      <c r="D428" s="41" t="s">
        <v>40</v>
      </c>
      <c r="E428" s="41" t="s">
        <v>25</v>
      </c>
      <c r="F428" s="41" t="s">
        <v>25</v>
      </c>
      <c r="G428" s="41" t="s">
        <v>25</v>
      </c>
      <c r="H428" s="41" t="s">
        <v>25</v>
      </c>
      <c r="I428" s="61">
        <v>44470</v>
      </c>
      <c r="J428" s="62">
        <f>EFEITO!$J$428*EFEITO!$Y$428</f>
        <v>0</v>
      </c>
      <c r="K428" s="62">
        <f ca="1">EFEITO!$L$428*EFEITO!$Z$428</f>
        <v>391122.20344255387</v>
      </c>
      <c r="L428" s="62">
        <f>EFEITO!$N$428*EFEITO!$AA$428</f>
        <v>90537.102412764521</v>
      </c>
      <c r="M428" s="62">
        <f>$J$428-EFEITO!$K$428*EFEITO!$Y$428</f>
        <v>0</v>
      </c>
      <c r="N428" s="62">
        <f ca="1">$K$428-EFEITO!$M$428*EFEITO!$Z$428</f>
        <v>0</v>
      </c>
      <c r="O428" s="62">
        <f>$L$428-EFEITO!$O$428*EFEITO!$AA$428</f>
        <v>0</v>
      </c>
      <c r="P428" s="45"/>
      <c r="Q428" s="45"/>
      <c r="R428" s="45"/>
      <c r="S428" s="45"/>
      <c r="T428" s="45"/>
      <c r="U428" s="45"/>
      <c r="V428" s="45"/>
      <c r="W428" s="45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41" t="s">
        <v>27</v>
      </c>
      <c r="B429" s="41" t="s">
        <v>33</v>
      </c>
      <c r="C429" s="41" t="s">
        <v>23</v>
      </c>
      <c r="D429" s="41" t="s">
        <v>40</v>
      </c>
      <c r="E429" s="41" t="s">
        <v>25</v>
      </c>
      <c r="F429" s="41" t="s">
        <v>25</v>
      </c>
      <c r="G429" s="41" t="s">
        <v>25</v>
      </c>
      <c r="H429" s="41" t="s">
        <v>25</v>
      </c>
      <c r="I429" s="61">
        <v>44470</v>
      </c>
      <c r="J429" s="62">
        <f>EFEITO!$J$429*EFEITO!$Y$429</f>
        <v>0</v>
      </c>
      <c r="K429" s="62">
        <f ca="1">EFEITO!$L$429*EFEITO!$Z$429</f>
        <v>-4052.400930821173</v>
      </c>
      <c r="L429" s="62">
        <f>EFEITO!$N$429*EFEITO!$AA$429</f>
        <v>-938.05116370803592</v>
      </c>
      <c r="M429" s="62">
        <f>$J$429-EFEITO!$K$429*EFEITO!$Y$429</f>
        <v>0</v>
      </c>
      <c r="N429" s="62">
        <f ca="1">$K$429-EFEITO!$M$429*EFEITO!$Z$429</f>
        <v>0</v>
      </c>
      <c r="O429" s="62">
        <f>$L$429-EFEITO!$O$429*EFEITO!$AA$429</f>
        <v>0</v>
      </c>
      <c r="P429" s="45"/>
      <c r="Q429" s="45"/>
      <c r="R429" s="45"/>
      <c r="S429" s="45"/>
      <c r="T429" s="45"/>
      <c r="U429" s="45"/>
      <c r="V429" s="45"/>
      <c r="W429" s="45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41" t="s">
        <v>28</v>
      </c>
      <c r="B430" s="41" t="s">
        <v>33</v>
      </c>
      <c r="C430" s="41" t="s">
        <v>23</v>
      </c>
      <c r="D430" s="41" t="s">
        <v>40</v>
      </c>
      <c r="E430" s="41" t="s">
        <v>25</v>
      </c>
      <c r="F430" s="41" t="s">
        <v>25</v>
      </c>
      <c r="G430" s="41" t="s">
        <v>25</v>
      </c>
      <c r="H430" s="41" t="s">
        <v>25</v>
      </c>
      <c r="I430" s="61">
        <v>44470</v>
      </c>
      <c r="J430" s="62">
        <f>EFEITO!$J$430*EFEITO!$Y$430</f>
        <v>0</v>
      </c>
      <c r="K430" s="62">
        <f ca="1">EFEITO!$L$430*EFEITO!$Z$430</f>
        <v>12680.131313393838</v>
      </c>
      <c r="L430" s="62">
        <f>EFEITO!$N$430*EFEITO!$AA$430</f>
        <v>2935.2011653223781</v>
      </c>
      <c r="M430" s="62">
        <f>$J$430-EFEITO!$K$430*EFEITO!$Y$430</f>
        <v>0</v>
      </c>
      <c r="N430" s="62">
        <f ca="1">$K$430-EFEITO!$M$430*EFEITO!$Z$430</f>
        <v>0</v>
      </c>
      <c r="O430" s="62">
        <f>$L$430-EFEITO!$O$430*EFEITO!$AA$430</f>
        <v>0</v>
      </c>
      <c r="P430" s="45"/>
      <c r="Q430" s="45"/>
      <c r="R430" s="45"/>
      <c r="S430" s="45"/>
      <c r="T430" s="45"/>
      <c r="U430" s="45"/>
      <c r="V430" s="45"/>
      <c r="W430" s="45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41" t="s">
        <v>21</v>
      </c>
      <c r="B431" s="41" t="s">
        <v>33</v>
      </c>
      <c r="C431" s="41" t="s">
        <v>23</v>
      </c>
      <c r="D431" s="41" t="s">
        <v>40</v>
      </c>
      <c r="E431" s="41" t="s">
        <v>25</v>
      </c>
      <c r="F431" s="41" t="s">
        <v>25</v>
      </c>
      <c r="G431" s="41" t="s">
        <v>25</v>
      </c>
      <c r="H431" s="41" t="s">
        <v>25</v>
      </c>
      <c r="I431" s="61">
        <v>44501</v>
      </c>
      <c r="J431" s="62">
        <f>EFEITO!$J$431*EFEITO!$Y$431</f>
        <v>0</v>
      </c>
      <c r="K431" s="62">
        <f ca="1">EFEITO!$L$431*EFEITO!$Z$431</f>
        <v>416763.40735146671</v>
      </c>
      <c r="L431" s="62">
        <f>EFEITO!$N$431*EFEITO!$AA$431</f>
        <v>96472.537128193013</v>
      </c>
      <c r="M431" s="62">
        <f>$J$431-EFEITO!$K$431*EFEITO!$Y$431</f>
        <v>0</v>
      </c>
      <c r="N431" s="62">
        <f ca="1">$K$431-EFEITO!$M$431*EFEITO!$Z$431</f>
        <v>0</v>
      </c>
      <c r="O431" s="62">
        <f>$L$431-EFEITO!$O$431*EFEITO!$AA$431</f>
        <v>0</v>
      </c>
      <c r="P431" s="45"/>
      <c r="Q431" s="45"/>
      <c r="R431" s="45"/>
      <c r="S431" s="45"/>
      <c r="T431" s="45"/>
      <c r="U431" s="45"/>
      <c r="V431" s="45"/>
      <c r="W431" s="45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41" t="s">
        <v>27</v>
      </c>
      <c r="B432" s="41" t="s">
        <v>33</v>
      </c>
      <c r="C432" s="41" t="s">
        <v>23</v>
      </c>
      <c r="D432" s="41" t="s">
        <v>40</v>
      </c>
      <c r="E432" s="41" t="s">
        <v>25</v>
      </c>
      <c r="F432" s="41" t="s">
        <v>25</v>
      </c>
      <c r="G432" s="41" t="s">
        <v>25</v>
      </c>
      <c r="H432" s="41" t="s">
        <v>25</v>
      </c>
      <c r="I432" s="61">
        <v>44501</v>
      </c>
      <c r="J432" s="62">
        <f>EFEITO!$J$432*EFEITO!$Y$432</f>
        <v>0</v>
      </c>
      <c r="K432" s="62">
        <f ca="1">EFEITO!$L$432*EFEITO!$Z$432</f>
        <v>-5506.6852147628233</v>
      </c>
      <c r="L432" s="62">
        <f>EFEITO!$N$432*EFEITO!$AA$432</f>
        <v>-1274.6893908237657</v>
      </c>
      <c r="M432" s="62">
        <f>$J$432-EFEITO!$K$432*EFEITO!$Y$432</f>
        <v>0</v>
      </c>
      <c r="N432" s="62">
        <f ca="1">$K$432-EFEITO!$M$432*EFEITO!$Z$432</f>
        <v>0</v>
      </c>
      <c r="O432" s="62">
        <f>$L$432-EFEITO!$O$432*EFEITO!$AA$432</f>
        <v>0</v>
      </c>
      <c r="P432" s="45"/>
      <c r="Q432" s="45"/>
      <c r="R432" s="45"/>
      <c r="S432" s="45"/>
      <c r="T432" s="45"/>
      <c r="U432" s="45"/>
      <c r="V432" s="45"/>
      <c r="W432" s="45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41" t="s">
        <v>28</v>
      </c>
      <c r="B433" s="41" t="s">
        <v>33</v>
      </c>
      <c r="C433" s="41" t="s">
        <v>23</v>
      </c>
      <c r="D433" s="41" t="s">
        <v>40</v>
      </c>
      <c r="E433" s="41" t="s">
        <v>25</v>
      </c>
      <c r="F433" s="41" t="s">
        <v>25</v>
      </c>
      <c r="G433" s="41" t="s">
        <v>25</v>
      </c>
      <c r="H433" s="41" t="s">
        <v>25</v>
      </c>
      <c r="I433" s="61">
        <v>44501</v>
      </c>
      <c r="J433" s="62">
        <f>EFEITO!$J$433*EFEITO!$Y$433</f>
        <v>0</v>
      </c>
      <c r="K433" s="62">
        <f ca="1">EFEITO!$L$433*EFEITO!$Z$433</f>
        <v>12054.505769165693</v>
      </c>
      <c r="L433" s="62">
        <f>EFEITO!$N$433*EFEITO!$AA$433</f>
        <v>2790.3811487872017</v>
      </c>
      <c r="M433" s="62">
        <f>$J$433-EFEITO!$K$433*EFEITO!$Y$433</f>
        <v>0</v>
      </c>
      <c r="N433" s="62">
        <f ca="1">$K$433-EFEITO!$M$433*EFEITO!$Z$433</f>
        <v>0</v>
      </c>
      <c r="O433" s="62">
        <f>$L$433-EFEITO!$O$433*EFEITO!$AA$433</f>
        <v>0</v>
      </c>
      <c r="P433" s="45"/>
      <c r="Q433" s="45"/>
      <c r="R433" s="45"/>
      <c r="S433" s="45"/>
      <c r="T433" s="45"/>
      <c r="U433" s="45"/>
      <c r="V433" s="45"/>
      <c r="W433" s="45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41" t="s">
        <v>21</v>
      </c>
      <c r="B434" s="41" t="s">
        <v>33</v>
      </c>
      <c r="C434" s="41" t="s">
        <v>23</v>
      </c>
      <c r="D434" s="41" t="s">
        <v>40</v>
      </c>
      <c r="E434" s="41" t="s">
        <v>25</v>
      </c>
      <c r="F434" s="41" t="s">
        <v>25</v>
      </c>
      <c r="G434" s="41" t="s">
        <v>25</v>
      </c>
      <c r="H434" s="41" t="s">
        <v>25</v>
      </c>
      <c r="I434" s="61">
        <v>44531</v>
      </c>
      <c r="J434" s="62">
        <f>EFEITO!$J$434*EFEITO!$Y$434</f>
        <v>0</v>
      </c>
      <c r="K434" s="62">
        <f ca="1">EFEITO!$L$434*EFEITO!$Z$434</f>
        <v>467994.46665764326</v>
      </c>
      <c r="L434" s="62">
        <f>EFEITO!$N$434*EFEITO!$AA$434</f>
        <v>108331.52038788151</v>
      </c>
      <c r="M434" s="62">
        <f>$J$434-EFEITO!$K$434*EFEITO!$Y$434</f>
        <v>0</v>
      </c>
      <c r="N434" s="62">
        <f ca="1">$K$434-EFEITO!$M$434*EFEITO!$Z$434</f>
        <v>0</v>
      </c>
      <c r="O434" s="62">
        <f>$L$434-EFEITO!$O$434*EFEITO!$AA$434</f>
        <v>0</v>
      </c>
      <c r="P434" s="45"/>
      <c r="Q434" s="45"/>
      <c r="R434" s="45"/>
      <c r="S434" s="45"/>
      <c r="T434" s="45"/>
      <c r="U434" s="45"/>
      <c r="V434" s="45"/>
      <c r="W434" s="45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41" t="s">
        <v>27</v>
      </c>
      <c r="B435" s="41" t="s">
        <v>33</v>
      </c>
      <c r="C435" s="41" t="s">
        <v>23</v>
      </c>
      <c r="D435" s="41" t="s">
        <v>40</v>
      </c>
      <c r="E435" s="41" t="s">
        <v>25</v>
      </c>
      <c r="F435" s="41" t="s">
        <v>25</v>
      </c>
      <c r="G435" s="41" t="s">
        <v>25</v>
      </c>
      <c r="H435" s="41" t="s">
        <v>25</v>
      </c>
      <c r="I435" s="61">
        <v>44531</v>
      </c>
      <c r="J435" s="62">
        <f>EFEITO!$J$435*EFEITO!$Y$435</f>
        <v>0</v>
      </c>
      <c r="K435" s="62">
        <f ca="1">EFEITO!$L$435*EFEITO!$Z$435</f>
        <v>-6078.0111834541867</v>
      </c>
      <c r="L435" s="62">
        <f>EFEITO!$N$435*EFEITO!$AA$435</f>
        <v>-1406.9401229049454</v>
      </c>
      <c r="M435" s="62">
        <f>$J$435-EFEITO!$K$435*EFEITO!$Y$435</f>
        <v>0</v>
      </c>
      <c r="N435" s="62">
        <f ca="1">$K$435-EFEITO!$M$435*EFEITO!$Z$435</f>
        <v>0</v>
      </c>
      <c r="O435" s="62">
        <f>$L$435-EFEITO!$O$435*EFEITO!$AA$435</f>
        <v>0</v>
      </c>
      <c r="P435" s="45"/>
      <c r="Q435" s="45"/>
      <c r="R435" s="45"/>
      <c r="S435" s="45"/>
      <c r="T435" s="45"/>
      <c r="U435" s="45"/>
      <c r="V435" s="45"/>
      <c r="W435" s="45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41" t="s">
        <v>28</v>
      </c>
      <c r="B436" s="41" t="s">
        <v>33</v>
      </c>
      <c r="C436" s="41" t="s">
        <v>23</v>
      </c>
      <c r="D436" s="41" t="s">
        <v>40</v>
      </c>
      <c r="E436" s="41" t="s">
        <v>25</v>
      </c>
      <c r="F436" s="41" t="s">
        <v>25</v>
      </c>
      <c r="G436" s="41" t="s">
        <v>25</v>
      </c>
      <c r="H436" s="41" t="s">
        <v>25</v>
      </c>
      <c r="I436" s="61">
        <v>44531</v>
      </c>
      <c r="J436" s="62">
        <f>EFEITO!$J$436*EFEITO!$Y$436</f>
        <v>0</v>
      </c>
      <c r="K436" s="62">
        <f ca="1">EFEITO!$L$436*EFEITO!$Z$436</f>
        <v>15135.416468100519</v>
      </c>
      <c r="L436" s="62">
        <f>EFEITO!$N$436*EFEITO!$AA$436</f>
        <v>3503.5514188943889</v>
      </c>
      <c r="M436" s="62">
        <f>$J$436-EFEITO!$K$436*EFEITO!$Y$436</f>
        <v>0</v>
      </c>
      <c r="N436" s="62">
        <f ca="1">$K$436-EFEITO!$M$436*EFEITO!$Z$436</f>
        <v>0</v>
      </c>
      <c r="O436" s="62">
        <f>$L$436-EFEITO!$O$436*EFEITO!$AA$436</f>
        <v>0</v>
      </c>
      <c r="P436" s="45"/>
      <c r="Q436" s="45"/>
      <c r="R436" s="45"/>
      <c r="S436" s="45"/>
      <c r="T436" s="45"/>
      <c r="U436" s="45"/>
      <c r="V436" s="45"/>
      <c r="W436" s="45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41" t="s">
        <v>21</v>
      </c>
      <c r="B437" s="41" t="s">
        <v>33</v>
      </c>
      <c r="C437" s="41" t="s">
        <v>23</v>
      </c>
      <c r="D437" s="41" t="s">
        <v>40</v>
      </c>
      <c r="E437" s="41" t="s">
        <v>25</v>
      </c>
      <c r="F437" s="41" t="s">
        <v>25</v>
      </c>
      <c r="G437" s="41" t="s">
        <v>25</v>
      </c>
      <c r="H437" s="41" t="s">
        <v>25</v>
      </c>
      <c r="I437" s="61">
        <v>44562</v>
      </c>
      <c r="J437" s="62">
        <f>EFEITO!$J$437*EFEITO!$Y$437</f>
        <v>0</v>
      </c>
      <c r="K437" s="62">
        <f ca="1">EFEITO!$L$437*EFEITO!$Z$437</f>
        <v>500155.75112041301</v>
      </c>
      <c r="L437" s="62">
        <f>EFEITO!$N$437*EFEITO!$AA$437</f>
        <v>115776.22559638933</v>
      </c>
      <c r="M437" s="62">
        <f>$J$437-EFEITO!$K$437*EFEITO!$Y$437</f>
        <v>0</v>
      </c>
      <c r="N437" s="62">
        <f ca="1">$K$437-EFEITO!$M$437*EFEITO!$Z$437</f>
        <v>0</v>
      </c>
      <c r="O437" s="62">
        <f>$L$437-EFEITO!$O$437*EFEITO!$AA$437</f>
        <v>0</v>
      </c>
      <c r="P437" s="45"/>
      <c r="Q437" s="45"/>
      <c r="R437" s="45"/>
      <c r="S437" s="45"/>
      <c r="T437" s="45"/>
      <c r="U437" s="45"/>
      <c r="V437" s="45"/>
      <c r="W437" s="45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41" t="s">
        <v>27</v>
      </c>
      <c r="B438" s="41" t="s">
        <v>33</v>
      </c>
      <c r="C438" s="41" t="s">
        <v>23</v>
      </c>
      <c r="D438" s="41" t="s">
        <v>40</v>
      </c>
      <c r="E438" s="41" t="s">
        <v>25</v>
      </c>
      <c r="F438" s="41" t="s">
        <v>25</v>
      </c>
      <c r="G438" s="41" t="s">
        <v>25</v>
      </c>
      <c r="H438" s="41" t="s">
        <v>25</v>
      </c>
      <c r="I438" s="61">
        <v>44562</v>
      </c>
      <c r="J438" s="62">
        <f>EFEITO!$J$438*EFEITO!$Y$438</f>
        <v>0</v>
      </c>
      <c r="K438" s="62">
        <f ca="1">EFEITO!$L$438*EFEITO!$Z$438</f>
        <v>-357.07873043210162</v>
      </c>
      <c r="L438" s="62">
        <f>EFEITO!$N$438*EFEITO!$AA$438</f>
        <v>-82.656707550737224</v>
      </c>
      <c r="M438" s="62">
        <f>$J$438-EFEITO!$K$438*EFEITO!$Y$438</f>
        <v>0</v>
      </c>
      <c r="N438" s="62">
        <f ca="1">$K$438-EFEITO!$M$438*EFEITO!$Z$438</f>
        <v>0</v>
      </c>
      <c r="O438" s="62">
        <f>$L$438-EFEITO!$O$438*EFEITO!$AA$438</f>
        <v>0</v>
      </c>
      <c r="P438" s="45"/>
      <c r="Q438" s="45"/>
      <c r="R438" s="45"/>
      <c r="S438" s="45"/>
      <c r="T438" s="45"/>
      <c r="U438" s="45"/>
      <c r="V438" s="45"/>
      <c r="W438" s="45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41" t="s">
        <v>28</v>
      </c>
      <c r="B439" s="41" t="s">
        <v>33</v>
      </c>
      <c r="C439" s="41" t="s">
        <v>23</v>
      </c>
      <c r="D439" s="41" t="s">
        <v>40</v>
      </c>
      <c r="E439" s="41" t="s">
        <v>25</v>
      </c>
      <c r="F439" s="41" t="s">
        <v>25</v>
      </c>
      <c r="G439" s="41" t="s">
        <v>25</v>
      </c>
      <c r="H439" s="41" t="s">
        <v>25</v>
      </c>
      <c r="I439" s="61">
        <v>44562</v>
      </c>
      <c r="J439" s="62">
        <f>EFEITO!$J$439*EFEITO!$Y$439</f>
        <v>0</v>
      </c>
      <c r="K439" s="62">
        <f ca="1">EFEITO!$L$439*EFEITO!$Z$439</f>
        <v>14289.641557837376</v>
      </c>
      <c r="L439" s="62">
        <f>EFEITO!$N$439*EFEITO!$AA$439</f>
        <v>3307.7711512576839</v>
      </c>
      <c r="M439" s="62">
        <f>$J$439-EFEITO!$K$439*EFEITO!$Y$439</f>
        <v>0</v>
      </c>
      <c r="N439" s="62">
        <f ca="1">$K$439-EFEITO!$M$439*EFEITO!$Z$439</f>
        <v>0</v>
      </c>
      <c r="O439" s="62">
        <f>$L$439-EFEITO!$O$439*EFEITO!$AA$439</f>
        <v>0</v>
      </c>
      <c r="P439" s="45"/>
      <c r="Q439" s="45"/>
      <c r="R439" s="45"/>
      <c r="S439" s="45"/>
      <c r="T439" s="45"/>
      <c r="U439" s="45"/>
      <c r="V439" s="45"/>
      <c r="W439" s="45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41" t="s">
        <v>21</v>
      </c>
      <c r="B440" s="41" t="s">
        <v>33</v>
      </c>
      <c r="C440" s="41" t="s">
        <v>23</v>
      </c>
      <c r="D440" s="41" t="s">
        <v>40</v>
      </c>
      <c r="E440" s="41" t="s">
        <v>25</v>
      </c>
      <c r="F440" s="41" t="s">
        <v>25</v>
      </c>
      <c r="G440" s="41" t="s">
        <v>25</v>
      </c>
      <c r="H440" s="41" t="s">
        <v>25</v>
      </c>
      <c r="I440" s="61">
        <v>44593</v>
      </c>
      <c r="J440" s="62">
        <f>EFEITO!$J$440*EFEITO!$Y$440</f>
        <v>0</v>
      </c>
      <c r="K440" s="62">
        <f ca="1">EFEITO!$L$440*EFEITO!$Z$440</f>
        <v>522834.08688590565</v>
      </c>
      <c r="L440" s="62">
        <f>EFEITO!$N$440*EFEITO!$AA$440</f>
        <v>121025.81457313235</v>
      </c>
      <c r="M440" s="62">
        <f>$J$440-EFEITO!$K$440*EFEITO!$Y$440</f>
        <v>0</v>
      </c>
      <c r="N440" s="62">
        <f ca="1">$K$440-EFEITO!$M$440*EFEITO!$Z$440</f>
        <v>0</v>
      </c>
      <c r="O440" s="62">
        <f>$L$440-EFEITO!$O$440*EFEITO!$AA$440</f>
        <v>0</v>
      </c>
      <c r="P440" s="45"/>
      <c r="Q440" s="45"/>
      <c r="R440" s="45"/>
      <c r="S440" s="45"/>
      <c r="T440" s="45"/>
      <c r="U440" s="45"/>
      <c r="V440" s="45"/>
      <c r="W440" s="45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41" t="s">
        <v>27</v>
      </c>
      <c r="B441" s="41" t="s">
        <v>33</v>
      </c>
      <c r="C441" s="41" t="s">
        <v>23</v>
      </c>
      <c r="D441" s="41" t="s">
        <v>40</v>
      </c>
      <c r="E441" s="41" t="s">
        <v>25</v>
      </c>
      <c r="F441" s="41" t="s">
        <v>25</v>
      </c>
      <c r="G441" s="41" t="s">
        <v>25</v>
      </c>
      <c r="H441" s="41" t="s">
        <v>25</v>
      </c>
      <c r="I441" s="61">
        <v>44593</v>
      </c>
      <c r="J441" s="62">
        <f>EFEITO!$J$441*EFEITO!$Y$441</f>
        <v>0</v>
      </c>
      <c r="K441" s="62">
        <f ca="1">EFEITO!$L$441*EFEITO!$Z$441</f>
        <v>-592.57362868401663</v>
      </c>
      <c r="L441" s="62">
        <f>EFEITO!$N$441*EFEITO!$AA$441</f>
        <v>-137.16914773709121</v>
      </c>
      <c r="M441" s="62">
        <f>$J$441-EFEITO!$K$441*EFEITO!$Y$441</f>
        <v>0</v>
      </c>
      <c r="N441" s="62">
        <f ca="1">$K$441-EFEITO!$M$441*EFEITO!$Z$441</f>
        <v>0</v>
      </c>
      <c r="O441" s="62">
        <f>$L$441-EFEITO!$O$441*EFEITO!$AA$441</f>
        <v>0</v>
      </c>
      <c r="P441" s="45"/>
      <c r="Q441" s="45"/>
      <c r="R441" s="45"/>
      <c r="S441" s="45"/>
      <c r="T441" s="45"/>
      <c r="U441" s="45"/>
      <c r="V441" s="45"/>
      <c r="W441" s="45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41" t="s">
        <v>28</v>
      </c>
      <c r="B442" s="41" t="s">
        <v>33</v>
      </c>
      <c r="C442" s="41" t="s">
        <v>23</v>
      </c>
      <c r="D442" s="41" t="s">
        <v>40</v>
      </c>
      <c r="E442" s="41" t="s">
        <v>25</v>
      </c>
      <c r="F442" s="41" t="s">
        <v>25</v>
      </c>
      <c r="G442" s="41" t="s">
        <v>25</v>
      </c>
      <c r="H442" s="41" t="s">
        <v>25</v>
      </c>
      <c r="I442" s="61">
        <v>44593</v>
      </c>
      <c r="J442" s="62">
        <f>EFEITO!$J$442*EFEITO!$Y$442</f>
        <v>0</v>
      </c>
      <c r="K442" s="62">
        <f ca="1">EFEITO!$L$442*EFEITO!$Z$442</f>
        <v>17783.701201073811</v>
      </c>
      <c r="L442" s="62">
        <f>EFEITO!$N$442*EFEITO!$AA$442</f>
        <v>4116.5772813409312</v>
      </c>
      <c r="M442" s="62">
        <f>$J$442-EFEITO!$K$442*EFEITO!$Y$442</f>
        <v>0</v>
      </c>
      <c r="N442" s="62">
        <f ca="1">$K$442-EFEITO!$M$442*EFEITO!$Z$442</f>
        <v>0</v>
      </c>
      <c r="O442" s="62">
        <f>$L$442-EFEITO!$O$442*EFEITO!$AA$442</f>
        <v>0</v>
      </c>
      <c r="P442" s="45"/>
      <c r="Q442" s="45"/>
      <c r="R442" s="45"/>
      <c r="S442" s="45"/>
      <c r="T442" s="45"/>
      <c r="U442" s="45"/>
      <c r="V442" s="45"/>
      <c r="W442" s="45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41" t="s">
        <v>21</v>
      </c>
      <c r="B443" s="41" t="s">
        <v>33</v>
      </c>
      <c r="C443" s="41" t="s">
        <v>23</v>
      </c>
      <c r="D443" s="41" t="s">
        <v>40</v>
      </c>
      <c r="E443" s="41" t="s">
        <v>25</v>
      </c>
      <c r="F443" s="41" t="s">
        <v>25</v>
      </c>
      <c r="G443" s="41" t="s">
        <v>25</v>
      </c>
      <c r="H443" s="41" t="s">
        <v>25</v>
      </c>
      <c r="I443" s="61">
        <v>44621</v>
      </c>
      <c r="J443" s="62">
        <f>EFEITO!$J$443*EFEITO!$Y$443</f>
        <v>0</v>
      </c>
      <c r="K443" s="62">
        <f ca="1">EFEITO!$L$443*EFEITO!$Z$443</f>
        <v>471026.38969603949</v>
      </c>
      <c r="L443" s="62">
        <f>EFEITO!$N$443*EFEITO!$AA$443</f>
        <v>109033.35097744867</v>
      </c>
      <c r="M443" s="62">
        <f>$J$443-EFEITO!$K$443*EFEITO!$Y$443</f>
        <v>0</v>
      </c>
      <c r="N443" s="62">
        <f ca="1">$K$443-EFEITO!$M$443*EFEITO!$Z$443</f>
        <v>0</v>
      </c>
      <c r="O443" s="62">
        <f>$L$443-EFEITO!$O$443*EFEITO!$AA$443</f>
        <v>0</v>
      </c>
      <c r="P443" s="45"/>
      <c r="Q443" s="45"/>
      <c r="R443" s="45"/>
      <c r="S443" s="45"/>
      <c r="T443" s="45"/>
      <c r="U443" s="45"/>
      <c r="V443" s="45"/>
      <c r="W443" s="45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41" t="s">
        <v>27</v>
      </c>
      <c r="B444" s="41" t="s">
        <v>33</v>
      </c>
      <c r="C444" s="41" t="s">
        <v>23</v>
      </c>
      <c r="D444" s="41" t="s">
        <v>40</v>
      </c>
      <c r="E444" s="41" t="s">
        <v>25</v>
      </c>
      <c r="F444" s="41" t="s">
        <v>25</v>
      </c>
      <c r="G444" s="41" t="s">
        <v>25</v>
      </c>
      <c r="H444" s="41" t="s">
        <v>25</v>
      </c>
      <c r="I444" s="61">
        <v>44621</v>
      </c>
      <c r="J444" s="62">
        <f>EFEITO!$J$444*EFEITO!$Y$444</f>
        <v>0</v>
      </c>
      <c r="K444" s="62">
        <f ca="1">EFEITO!$L$444*EFEITO!$Z$444</f>
        <v>-4533.4243445437569</v>
      </c>
      <c r="L444" s="62">
        <f>EFEITO!$N$444*EFEITO!$AA$444</f>
        <v>-1049.398629251591</v>
      </c>
      <c r="M444" s="62">
        <f>$J$444-EFEITO!$K$444*EFEITO!$Y$444</f>
        <v>0</v>
      </c>
      <c r="N444" s="62">
        <f ca="1">$K$444-EFEITO!$M$444*EFEITO!$Z$444</f>
        <v>0</v>
      </c>
      <c r="O444" s="62">
        <f>$L$444-EFEITO!$O$444*EFEITO!$AA$444</f>
        <v>0</v>
      </c>
      <c r="P444" s="45"/>
      <c r="Q444" s="45"/>
      <c r="R444" s="45"/>
      <c r="S444" s="45"/>
      <c r="T444" s="45"/>
      <c r="U444" s="45"/>
      <c r="V444" s="45"/>
      <c r="W444" s="45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41" t="s">
        <v>28</v>
      </c>
      <c r="B445" s="41" t="s">
        <v>33</v>
      </c>
      <c r="C445" s="41" t="s">
        <v>23</v>
      </c>
      <c r="D445" s="41" t="s">
        <v>40</v>
      </c>
      <c r="E445" s="41" t="s">
        <v>25</v>
      </c>
      <c r="F445" s="41" t="s">
        <v>25</v>
      </c>
      <c r="G445" s="41" t="s">
        <v>25</v>
      </c>
      <c r="H445" s="41" t="s">
        <v>25</v>
      </c>
      <c r="I445" s="61">
        <v>44621</v>
      </c>
      <c r="J445" s="62">
        <f>EFEITO!$J$445*EFEITO!$Y$445</f>
        <v>0</v>
      </c>
      <c r="K445" s="62">
        <f ca="1">EFEITO!$L$445*EFEITO!$Z$445</f>
        <v>27543.459691032873</v>
      </c>
      <c r="L445" s="62">
        <f>EFEITO!$N$445*EFEITO!$AA$445</f>
        <v>6375.7695392896767</v>
      </c>
      <c r="M445" s="62">
        <f>$J$445-EFEITO!$K$445*EFEITO!$Y$445</f>
        <v>0</v>
      </c>
      <c r="N445" s="62">
        <f ca="1">$K$445-EFEITO!$M$445*EFEITO!$Z$445</f>
        <v>0</v>
      </c>
      <c r="O445" s="62">
        <f>$L$445-EFEITO!$O$445*EFEITO!$AA$445</f>
        <v>0</v>
      </c>
      <c r="P445" s="45"/>
      <c r="Q445" s="45"/>
      <c r="R445" s="45"/>
      <c r="S445" s="45"/>
      <c r="T445" s="45"/>
      <c r="U445" s="45"/>
      <c r="V445" s="45"/>
      <c r="W445" s="45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41" t="s">
        <v>28</v>
      </c>
      <c r="B446" s="41" t="s">
        <v>33</v>
      </c>
      <c r="C446" s="41" t="s">
        <v>23</v>
      </c>
      <c r="D446" s="41" t="s">
        <v>40</v>
      </c>
      <c r="E446" s="41" t="s">
        <v>25</v>
      </c>
      <c r="F446" s="41" t="s">
        <v>25</v>
      </c>
      <c r="G446" s="41" t="s">
        <v>25</v>
      </c>
      <c r="H446" s="41" t="s">
        <v>25</v>
      </c>
      <c r="I446" s="61">
        <v>44621</v>
      </c>
      <c r="J446" s="62">
        <f>EFEITO!$J$446*EFEITO!$Y$446</f>
        <v>0</v>
      </c>
      <c r="K446" s="62">
        <f ca="1">EFEITO!$L$446*EFEITO!$Z$446</f>
        <v>-421.41192318763729</v>
      </c>
      <c r="L446" s="62">
        <f>EFEITO!$N$446*EFEITO!$AA$446</f>
        <v>-97.548577175580789</v>
      </c>
      <c r="M446" s="62">
        <f>$J$446-EFEITO!$K$446*EFEITO!$Y$446</f>
        <v>0</v>
      </c>
      <c r="N446" s="62">
        <f ca="1">$K$446-EFEITO!$M$446*EFEITO!$Z$446</f>
        <v>0</v>
      </c>
      <c r="O446" s="62">
        <f>$L$446-EFEITO!$O$446*EFEITO!$AA$446</f>
        <v>0</v>
      </c>
      <c r="P446" s="45"/>
      <c r="Q446" s="45"/>
      <c r="R446" s="45"/>
      <c r="S446" s="45"/>
      <c r="T446" s="45"/>
      <c r="U446" s="45"/>
      <c r="V446" s="45"/>
      <c r="W446" s="45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41" t="s">
        <v>21</v>
      </c>
      <c r="B447" s="41" t="s">
        <v>33</v>
      </c>
      <c r="C447" s="41" t="s">
        <v>23</v>
      </c>
      <c r="D447" s="41" t="s">
        <v>40</v>
      </c>
      <c r="E447" s="41" t="s">
        <v>25</v>
      </c>
      <c r="F447" s="41" t="s">
        <v>25</v>
      </c>
      <c r="G447" s="41" t="s">
        <v>25</v>
      </c>
      <c r="H447" s="41" t="s">
        <v>25</v>
      </c>
      <c r="I447" s="61">
        <v>44652</v>
      </c>
      <c r="J447" s="62">
        <f>EFEITO!$J$447*EFEITO!$Y$447</f>
        <v>0</v>
      </c>
      <c r="K447" s="62">
        <f ca="1">EFEITO!$L$447*EFEITO!$Z$447</f>
        <v>400625.21937426837</v>
      </c>
      <c r="L447" s="62">
        <f>EFEITO!$N$447*EFEITO!$AA$447</f>
        <v>92736.863814871002</v>
      </c>
      <c r="M447" s="62">
        <f>$J$447-EFEITO!$K$447*EFEITO!$Y$447</f>
        <v>0</v>
      </c>
      <c r="N447" s="62">
        <f ca="1">$K$447-EFEITO!$M$447*EFEITO!$Z$447</f>
        <v>0</v>
      </c>
      <c r="O447" s="62">
        <f>$L$447-EFEITO!$O$447*EFEITO!$AA$447</f>
        <v>0</v>
      </c>
      <c r="P447" s="45"/>
      <c r="Q447" s="45"/>
      <c r="R447" s="45"/>
      <c r="S447" s="45"/>
      <c r="T447" s="45"/>
      <c r="U447" s="45"/>
      <c r="V447" s="45"/>
      <c r="W447" s="45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41" t="s">
        <v>28</v>
      </c>
      <c r="B448" s="41" t="s">
        <v>33</v>
      </c>
      <c r="C448" s="41" t="s">
        <v>23</v>
      </c>
      <c r="D448" s="41" t="s">
        <v>40</v>
      </c>
      <c r="E448" s="41" t="s">
        <v>25</v>
      </c>
      <c r="F448" s="41" t="s">
        <v>25</v>
      </c>
      <c r="G448" s="41" t="s">
        <v>25</v>
      </c>
      <c r="H448" s="41" t="s">
        <v>25</v>
      </c>
      <c r="I448" s="61">
        <v>44652</v>
      </c>
      <c r="J448" s="62">
        <f>EFEITO!$J$448*EFEITO!$Y$448</f>
        <v>0</v>
      </c>
      <c r="K448" s="62">
        <f ca="1">EFEITO!$L$448*EFEITO!$Z$448</f>
        <v>23406.068120241081</v>
      </c>
      <c r="L448" s="62">
        <f>EFEITO!$N$448*EFEITO!$AA$448</f>
        <v>5418.0447129579934</v>
      </c>
      <c r="M448" s="62">
        <f>$J$448-EFEITO!$K$448*EFEITO!$Y$448</f>
        <v>0</v>
      </c>
      <c r="N448" s="62">
        <f ca="1">$K$448-EFEITO!$M$448*EFEITO!$Z$448</f>
        <v>0</v>
      </c>
      <c r="O448" s="62">
        <f>$L$448-EFEITO!$O$448*EFEITO!$AA$448</f>
        <v>0</v>
      </c>
      <c r="P448" s="45"/>
      <c r="Q448" s="45"/>
      <c r="R448" s="45"/>
      <c r="S448" s="45"/>
      <c r="T448" s="45"/>
      <c r="U448" s="45"/>
      <c r="V448" s="45"/>
      <c r="W448" s="45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41" t="s">
        <v>21</v>
      </c>
      <c r="B449" s="41" t="s">
        <v>33</v>
      </c>
      <c r="C449" s="41" t="s">
        <v>23</v>
      </c>
      <c r="D449" s="41" t="s">
        <v>40</v>
      </c>
      <c r="E449" s="41" t="s">
        <v>25</v>
      </c>
      <c r="F449" s="41" t="s">
        <v>25</v>
      </c>
      <c r="G449" s="41" t="s">
        <v>25</v>
      </c>
      <c r="H449" s="41" t="s">
        <v>25</v>
      </c>
      <c r="I449" s="61">
        <v>44682</v>
      </c>
      <c r="J449" s="62">
        <f>EFEITO!$J$449*EFEITO!$Y$449</f>
        <v>0</v>
      </c>
      <c r="K449" s="62">
        <f ca="1">EFEITO!$L$449*EFEITO!$Z$449</f>
        <v>363981.85907860391</v>
      </c>
      <c r="L449" s="62">
        <f>EFEITO!$N$449*EFEITO!$AA$449</f>
        <v>84254.646148280081</v>
      </c>
      <c r="M449" s="62">
        <f>$J$449-EFEITO!$K$449*EFEITO!$Y$449</f>
        <v>0</v>
      </c>
      <c r="N449" s="62">
        <f ca="1">$K$449-EFEITO!$M$449*EFEITO!$Z$449</f>
        <v>0</v>
      </c>
      <c r="O449" s="62">
        <f>$L$449-EFEITO!$O$449*EFEITO!$AA$449</f>
        <v>0</v>
      </c>
      <c r="P449" s="45"/>
      <c r="Q449" s="45"/>
      <c r="R449" s="45"/>
      <c r="S449" s="45"/>
      <c r="T449" s="45"/>
      <c r="U449" s="45"/>
      <c r="V449" s="45"/>
      <c r="W449" s="45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41" t="s">
        <v>28</v>
      </c>
      <c r="B450" s="41" t="s">
        <v>33</v>
      </c>
      <c r="C450" s="41" t="s">
        <v>23</v>
      </c>
      <c r="D450" s="41" t="s">
        <v>40</v>
      </c>
      <c r="E450" s="41" t="s">
        <v>25</v>
      </c>
      <c r="F450" s="41" t="s">
        <v>25</v>
      </c>
      <c r="G450" s="41" t="s">
        <v>25</v>
      </c>
      <c r="H450" s="41" t="s">
        <v>25</v>
      </c>
      <c r="I450" s="61">
        <v>44682</v>
      </c>
      <c r="J450" s="62">
        <f>EFEITO!$J$450*EFEITO!$Y$450</f>
        <v>0</v>
      </c>
      <c r="K450" s="62">
        <f ca="1">EFEITO!$L$450*EFEITO!$Z$450</f>
        <v>19261.003783340835</v>
      </c>
      <c r="L450" s="62">
        <f>EFEITO!$N$450*EFEITO!$AA$450</f>
        <v>4458.5437920838986</v>
      </c>
      <c r="M450" s="62">
        <f>$J$450-EFEITO!$K$450*EFEITO!$Y$450</f>
        <v>0</v>
      </c>
      <c r="N450" s="62">
        <f ca="1">$K$450-EFEITO!$M$450*EFEITO!$Z$450</f>
        <v>0</v>
      </c>
      <c r="O450" s="62">
        <f>$L$450-EFEITO!$O$450*EFEITO!$AA$450</f>
        <v>0</v>
      </c>
      <c r="P450" s="45"/>
      <c r="Q450" s="45"/>
      <c r="R450" s="45"/>
      <c r="S450" s="45"/>
      <c r="T450" s="45"/>
      <c r="U450" s="45"/>
      <c r="V450" s="45"/>
      <c r="W450" s="45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41" t="s">
        <v>21</v>
      </c>
      <c r="B451" s="41" t="s">
        <v>33</v>
      </c>
      <c r="C451" s="41" t="s">
        <v>23</v>
      </c>
      <c r="D451" s="41" t="s">
        <v>40</v>
      </c>
      <c r="E451" s="41" t="s">
        <v>25</v>
      </c>
      <c r="F451" s="41" t="s">
        <v>25</v>
      </c>
      <c r="G451" s="41" t="s">
        <v>25</v>
      </c>
      <c r="H451" s="41" t="s">
        <v>25</v>
      </c>
      <c r="I451" s="61">
        <v>44713</v>
      </c>
      <c r="J451" s="62">
        <f>EFEITO!$J$451*EFEITO!$Y$451</f>
        <v>0</v>
      </c>
      <c r="K451" s="62">
        <f ca="1">EFEITO!$L$451*EFEITO!$Z$451</f>
        <v>363714.49269036303</v>
      </c>
      <c r="L451" s="62">
        <f>EFEITO!$N$451*EFEITO!$AA$451</f>
        <v>84192.756084609864</v>
      </c>
      <c r="M451" s="62">
        <f>$J$451-EFEITO!$K$451*EFEITO!$Y$451</f>
        <v>0</v>
      </c>
      <c r="N451" s="62">
        <f ca="1">$K$451-EFEITO!$M$451*EFEITO!$Z$451</f>
        <v>0</v>
      </c>
      <c r="O451" s="62">
        <f>$L$451-EFEITO!$O$451*EFEITO!$AA$451</f>
        <v>0</v>
      </c>
      <c r="P451" s="45"/>
      <c r="Q451" s="45"/>
      <c r="R451" s="45"/>
      <c r="S451" s="45"/>
      <c r="T451" s="45"/>
      <c r="U451" s="45"/>
      <c r="V451" s="45"/>
      <c r="W451" s="45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41" t="s">
        <v>27</v>
      </c>
      <c r="B452" s="41" t="s">
        <v>33</v>
      </c>
      <c r="C452" s="41" t="s">
        <v>23</v>
      </c>
      <c r="D452" s="41" t="s">
        <v>40</v>
      </c>
      <c r="E452" s="41" t="s">
        <v>25</v>
      </c>
      <c r="F452" s="41" t="s">
        <v>25</v>
      </c>
      <c r="G452" s="41" t="s">
        <v>25</v>
      </c>
      <c r="H452" s="41" t="s">
        <v>25</v>
      </c>
      <c r="I452" s="61">
        <v>44713</v>
      </c>
      <c r="J452" s="62">
        <f>EFEITO!$J$452*EFEITO!$Y$452</f>
        <v>0</v>
      </c>
      <c r="K452" s="62">
        <f ca="1">EFEITO!$L$452*EFEITO!$Z$452</f>
        <v>-118.04255551474435</v>
      </c>
      <c r="L452" s="62">
        <f>EFEITO!$N$452*EFEITO!$AA$452</f>
        <v>-27.324531421731315</v>
      </c>
      <c r="M452" s="62">
        <f>$J$452-EFEITO!$K$452*EFEITO!$Y$452</f>
        <v>0</v>
      </c>
      <c r="N452" s="62">
        <f ca="1">$K$452-EFEITO!$M$452*EFEITO!$Z$452</f>
        <v>0</v>
      </c>
      <c r="O452" s="62">
        <f>$L$452-EFEITO!$O$452*EFEITO!$AA$452</f>
        <v>0</v>
      </c>
      <c r="P452" s="45"/>
      <c r="Q452" s="45"/>
      <c r="R452" s="45"/>
      <c r="S452" s="45"/>
      <c r="T452" s="45"/>
      <c r="U452" s="45"/>
      <c r="V452" s="45"/>
      <c r="W452" s="45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41" t="s">
        <v>28</v>
      </c>
      <c r="B453" s="41" t="s">
        <v>33</v>
      </c>
      <c r="C453" s="41" t="s">
        <v>23</v>
      </c>
      <c r="D453" s="41" t="s">
        <v>40</v>
      </c>
      <c r="E453" s="41" t="s">
        <v>25</v>
      </c>
      <c r="F453" s="41" t="s">
        <v>25</v>
      </c>
      <c r="G453" s="41" t="s">
        <v>25</v>
      </c>
      <c r="H453" s="41" t="s">
        <v>25</v>
      </c>
      <c r="I453" s="61">
        <v>44713</v>
      </c>
      <c r="J453" s="62">
        <f>EFEITO!$J$453*EFEITO!$Y$453</f>
        <v>0</v>
      </c>
      <c r="K453" s="62">
        <f ca="1">EFEITO!$L$453*EFEITO!$Z$453</f>
        <v>24834.38304196949</v>
      </c>
      <c r="L453" s="62">
        <f>EFEITO!$N$453*EFEITO!$AA$453</f>
        <v>5748.6715431609418</v>
      </c>
      <c r="M453" s="62">
        <f>$J$453-EFEITO!$K$453*EFEITO!$Y$453</f>
        <v>0</v>
      </c>
      <c r="N453" s="62">
        <f ca="1">$K$453-EFEITO!$M$453*EFEITO!$Z$453</f>
        <v>0</v>
      </c>
      <c r="O453" s="62">
        <f>$L$453-EFEITO!$O$453*EFEITO!$AA$453</f>
        <v>0</v>
      </c>
      <c r="P453" s="45"/>
      <c r="Q453" s="45"/>
      <c r="R453" s="45"/>
      <c r="S453" s="45"/>
      <c r="T453" s="45"/>
      <c r="U453" s="45"/>
      <c r="V453" s="45"/>
      <c r="W453" s="45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41" t="s">
        <v>21</v>
      </c>
      <c r="B454" s="41" t="s">
        <v>33</v>
      </c>
      <c r="C454" s="41" t="s">
        <v>23</v>
      </c>
      <c r="D454" s="41" t="s">
        <v>40</v>
      </c>
      <c r="E454" s="41" t="s">
        <v>25</v>
      </c>
      <c r="F454" s="41" t="s">
        <v>25</v>
      </c>
      <c r="G454" s="41" t="s">
        <v>25</v>
      </c>
      <c r="H454" s="41" t="s">
        <v>25</v>
      </c>
      <c r="I454" s="61">
        <v>44743</v>
      </c>
      <c r="J454" s="62">
        <f>EFEITO!$J$454*EFEITO!$Y$454</f>
        <v>0</v>
      </c>
      <c r="K454" s="62">
        <f ca="1">EFEITO!$L$454*EFEITO!$Z$454</f>
        <v>373489.59671253897</v>
      </c>
      <c r="L454" s="62">
        <f>EFEITO!$N$454*EFEITO!$AA$454</f>
        <v>86455.500531643411</v>
      </c>
      <c r="M454" s="62">
        <f>$J$454-EFEITO!$K$454*EFEITO!$Y$454</f>
        <v>0</v>
      </c>
      <c r="N454" s="62">
        <f ca="1">$K$454-EFEITO!$M$454*EFEITO!$Z$454</f>
        <v>0</v>
      </c>
      <c r="O454" s="62">
        <f>$L$454-EFEITO!$O$454*EFEITO!$AA$454</f>
        <v>0</v>
      </c>
      <c r="P454" s="45"/>
      <c r="Q454" s="45"/>
      <c r="R454" s="45"/>
      <c r="S454" s="45"/>
      <c r="T454" s="45"/>
      <c r="U454" s="45"/>
      <c r="V454" s="45"/>
      <c r="W454" s="45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41" t="s">
        <v>28</v>
      </c>
      <c r="B455" s="41" t="s">
        <v>33</v>
      </c>
      <c r="C455" s="41" t="s">
        <v>23</v>
      </c>
      <c r="D455" s="41" t="s">
        <v>40</v>
      </c>
      <c r="E455" s="41" t="s">
        <v>25</v>
      </c>
      <c r="F455" s="41" t="s">
        <v>25</v>
      </c>
      <c r="G455" s="41" t="s">
        <v>25</v>
      </c>
      <c r="H455" s="41" t="s">
        <v>25</v>
      </c>
      <c r="I455" s="61">
        <v>44743</v>
      </c>
      <c r="J455" s="62">
        <f>EFEITO!$J$455*EFEITO!$Y$455</f>
        <v>0</v>
      </c>
      <c r="K455" s="62">
        <f ca="1">EFEITO!$L$455*EFEITO!$Z$455</f>
        <v>24804.282190313232</v>
      </c>
      <c r="L455" s="62">
        <f>EFEITO!$N$455*EFEITO!$AA$455</f>
        <v>5741.703787648401</v>
      </c>
      <c r="M455" s="62">
        <f>$J$455-EFEITO!$K$455*EFEITO!$Y$455</f>
        <v>0</v>
      </c>
      <c r="N455" s="62">
        <f ca="1">$K$455-EFEITO!$M$455*EFEITO!$Z$455</f>
        <v>0</v>
      </c>
      <c r="O455" s="62">
        <f>$L$455-EFEITO!$O$455*EFEITO!$AA$455</f>
        <v>0</v>
      </c>
      <c r="P455" s="45"/>
      <c r="Q455" s="45"/>
      <c r="R455" s="45"/>
      <c r="S455" s="45"/>
      <c r="T455" s="45"/>
      <c r="U455" s="45"/>
      <c r="V455" s="45"/>
      <c r="W455" s="45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41" t="s">
        <v>55</v>
      </c>
      <c r="B456" s="41" t="s">
        <v>33</v>
      </c>
      <c r="C456" s="41" t="s">
        <v>23</v>
      </c>
      <c r="D456" s="41" t="s">
        <v>40</v>
      </c>
      <c r="E456" s="41" t="s">
        <v>25</v>
      </c>
      <c r="F456" s="41" t="s">
        <v>25</v>
      </c>
      <c r="G456" s="41" t="s">
        <v>25</v>
      </c>
      <c r="H456" s="41" t="s">
        <v>25</v>
      </c>
      <c r="I456" s="61">
        <v>44774</v>
      </c>
      <c r="J456" s="62">
        <f>EFEITO!$J$456*EFEITO!$Y$456</f>
        <v>0</v>
      </c>
      <c r="K456" s="62">
        <f ca="1">EFEITO!$L$456*EFEITO!$Z$456</f>
        <v>373489.59671253897</v>
      </c>
      <c r="L456" s="62">
        <f>EFEITO!$N$456*EFEITO!$AA$456</f>
        <v>86455.500531643411</v>
      </c>
      <c r="M456" s="62">
        <f>$J$456-EFEITO!$K$456*EFEITO!$Y$456</f>
        <v>0</v>
      </c>
      <c r="N456" s="62">
        <f ca="1">$K$456-EFEITO!$M$456*EFEITO!$Z$456</f>
        <v>0</v>
      </c>
      <c r="O456" s="62">
        <f>$L$456-EFEITO!$O$456*EFEITO!$AA$456</f>
        <v>0</v>
      </c>
      <c r="P456" s="45"/>
      <c r="Q456" s="45"/>
      <c r="R456" s="45"/>
      <c r="S456" s="45"/>
      <c r="T456" s="45"/>
      <c r="U456" s="45"/>
      <c r="V456" s="45"/>
      <c r="W456" s="45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41" t="s">
        <v>55</v>
      </c>
      <c r="B457" s="41" t="s">
        <v>33</v>
      </c>
      <c r="C457" s="41" t="s">
        <v>23</v>
      </c>
      <c r="D457" s="41" t="s">
        <v>40</v>
      </c>
      <c r="E457" s="41" t="s">
        <v>25</v>
      </c>
      <c r="F457" s="41" t="s">
        <v>25</v>
      </c>
      <c r="G457" s="41" t="s">
        <v>25</v>
      </c>
      <c r="H457" s="41" t="s">
        <v>25</v>
      </c>
      <c r="I457" s="61">
        <v>44774</v>
      </c>
      <c r="J457" s="62">
        <f>EFEITO!$J$457*EFEITO!$Y$457</f>
        <v>0</v>
      </c>
      <c r="K457" s="62">
        <f ca="1">EFEITO!$L$457*EFEITO!$Z$457</f>
        <v>24804.282190313232</v>
      </c>
      <c r="L457" s="62">
        <f>EFEITO!$N$457*EFEITO!$AA$457</f>
        <v>5741.703787648401</v>
      </c>
      <c r="M457" s="62">
        <f>$J$457-EFEITO!$K$457*EFEITO!$Y$457</f>
        <v>0</v>
      </c>
      <c r="N457" s="62">
        <f ca="1">$K$457-EFEITO!$M$457*EFEITO!$Z$457</f>
        <v>0</v>
      </c>
      <c r="O457" s="62">
        <f>$L$457-EFEITO!$O$457*EFEITO!$AA$457</f>
        <v>0</v>
      </c>
      <c r="P457" s="45"/>
      <c r="Q457" s="45"/>
      <c r="R457" s="45"/>
      <c r="S457" s="45"/>
      <c r="T457" s="45"/>
      <c r="U457" s="45"/>
      <c r="V457" s="45"/>
      <c r="W457" s="45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41" t="s">
        <v>21</v>
      </c>
      <c r="B458" s="41" t="s">
        <v>33</v>
      </c>
      <c r="C458" s="41" t="s">
        <v>23</v>
      </c>
      <c r="D458" s="41" t="s">
        <v>51</v>
      </c>
      <c r="E458" s="41" t="s">
        <v>25</v>
      </c>
      <c r="F458" s="41" t="s">
        <v>25</v>
      </c>
      <c r="G458" s="41" t="s">
        <v>25</v>
      </c>
      <c r="H458" s="41" t="s">
        <v>25</v>
      </c>
      <c r="I458" s="61">
        <v>44440</v>
      </c>
      <c r="J458" s="62">
        <f>EFEITO!$J$458*EFEITO!$Y$458</f>
        <v>0</v>
      </c>
      <c r="K458" s="62">
        <f ca="1">EFEITO!$L$458*EFEITO!$Z$458</f>
        <v>3401.9864499349324</v>
      </c>
      <c r="L458" s="62">
        <f>EFEITO!$N$458*EFEITO!$AA$458</f>
        <v>787.49299557429651</v>
      </c>
      <c r="M458" s="62">
        <f>$J$458-EFEITO!$K$458*EFEITO!$Y$458</f>
        <v>0</v>
      </c>
      <c r="N458" s="62">
        <f ca="1">$K$458-EFEITO!$M$458*EFEITO!$Z$458</f>
        <v>0</v>
      </c>
      <c r="O458" s="62">
        <f>$L$458-EFEITO!$O$458*EFEITO!$AA$458</f>
        <v>0</v>
      </c>
      <c r="P458" s="45"/>
      <c r="Q458" s="45"/>
      <c r="R458" s="45"/>
      <c r="S458" s="45"/>
      <c r="T458" s="45"/>
      <c r="U458" s="45"/>
      <c r="V458" s="45"/>
      <c r="W458" s="45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41" t="s">
        <v>21</v>
      </c>
      <c r="B459" s="41" t="s">
        <v>33</v>
      </c>
      <c r="C459" s="41" t="s">
        <v>23</v>
      </c>
      <c r="D459" s="41" t="s">
        <v>51</v>
      </c>
      <c r="E459" s="41" t="s">
        <v>25</v>
      </c>
      <c r="F459" s="41" t="s">
        <v>25</v>
      </c>
      <c r="G459" s="41" t="s">
        <v>25</v>
      </c>
      <c r="H459" s="41" t="s">
        <v>25</v>
      </c>
      <c r="I459" s="61">
        <v>44470</v>
      </c>
      <c r="J459" s="62">
        <f>EFEITO!$J$459*EFEITO!$Y$459</f>
        <v>0</v>
      </c>
      <c r="K459" s="62">
        <f ca="1">EFEITO!$L$459*EFEITO!$Z$459</f>
        <v>3305.1915544128415</v>
      </c>
      <c r="L459" s="62">
        <f>EFEITO!$N$459*EFEITO!$AA$459</f>
        <v>765.08687980847674</v>
      </c>
      <c r="M459" s="62">
        <f>$J$459-EFEITO!$K$459*EFEITO!$Y$459</f>
        <v>0</v>
      </c>
      <c r="N459" s="62">
        <f ca="1">$K$459-EFEITO!$M$459*EFEITO!$Z$459</f>
        <v>0</v>
      </c>
      <c r="O459" s="62">
        <f>$L$459-EFEITO!$O$459*EFEITO!$AA$459</f>
        <v>0</v>
      </c>
      <c r="P459" s="45"/>
      <c r="Q459" s="45"/>
      <c r="R459" s="45"/>
      <c r="S459" s="45"/>
      <c r="T459" s="45"/>
      <c r="U459" s="45"/>
      <c r="V459" s="45"/>
      <c r="W459" s="45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41" t="s">
        <v>21</v>
      </c>
      <c r="B460" s="41" t="s">
        <v>33</v>
      </c>
      <c r="C460" s="41" t="s">
        <v>23</v>
      </c>
      <c r="D460" s="41" t="s">
        <v>51</v>
      </c>
      <c r="E460" s="41" t="s">
        <v>25</v>
      </c>
      <c r="F460" s="41" t="s">
        <v>25</v>
      </c>
      <c r="G460" s="41" t="s">
        <v>25</v>
      </c>
      <c r="H460" s="41" t="s">
        <v>25</v>
      </c>
      <c r="I460" s="61">
        <v>44501</v>
      </c>
      <c r="J460" s="62">
        <f>EFEITO!$J$460*EFEITO!$Y$460</f>
        <v>0</v>
      </c>
      <c r="K460" s="62">
        <f ca="1">EFEITO!$L$460*EFEITO!$Z$460</f>
        <v>3888.9119914332528</v>
      </c>
      <c r="L460" s="62">
        <f>EFEITO!$N$460*EFEITO!$AA$460</f>
        <v>900.20668768893813</v>
      </c>
      <c r="M460" s="62">
        <f>$J$460-EFEITO!$K$460*EFEITO!$Y$460</f>
        <v>0</v>
      </c>
      <c r="N460" s="62">
        <f ca="1">$K$460-EFEITO!$M$460*EFEITO!$Z$460</f>
        <v>0</v>
      </c>
      <c r="O460" s="62">
        <f>$L$460-EFEITO!$O$460*EFEITO!$AA$460</f>
        <v>0</v>
      </c>
      <c r="P460" s="45"/>
      <c r="Q460" s="45"/>
      <c r="R460" s="45"/>
      <c r="S460" s="45"/>
      <c r="T460" s="45"/>
      <c r="U460" s="45"/>
      <c r="V460" s="45"/>
      <c r="W460" s="45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41" t="s">
        <v>21</v>
      </c>
      <c r="B461" s="41" t="s">
        <v>33</v>
      </c>
      <c r="C461" s="41" t="s">
        <v>23</v>
      </c>
      <c r="D461" s="41" t="s">
        <v>51</v>
      </c>
      <c r="E461" s="41" t="s">
        <v>25</v>
      </c>
      <c r="F461" s="41" t="s">
        <v>25</v>
      </c>
      <c r="G461" s="41" t="s">
        <v>25</v>
      </c>
      <c r="H461" s="41" t="s">
        <v>25</v>
      </c>
      <c r="I461" s="61">
        <v>44531</v>
      </c>
      <c r="J461" s="62">
        <f>EFEITO!$J$461*EFEITO!$Y$461</f>
        <v>0</v>
      </c>
      <c r="K461" s="62">
        <f ca="1">EFEITO!$L$461*EFEITO!$Z$461</f>
        <v>5121.8664837847573</v>
      </c>
      <c r="L461" s="62">
        <f>EFEITO!$N$461*EFEITO!$AA$461</f>
        <v>1185.6114183889217</v>
      </c>
      <c r="M461" s="62">
        <f>$J$461-EFEITO!$K$461*EFEITO!$Y$461</f>
        <v>0</v>
      </c>
      <c r="N461" s="62">
        <f ca="1">$K$461-EFEITO!$M$461*EFEITO!$Z$461</f>
        <v>0</v>
      </c>
      <c r="O461" s="62">
        <f>$L$461-EFEITO!$O$461*EFEITO!$AA$461</f>
        <v>0</v>
      </c>
      <c r="P461" s="45"/>
      <c r="Q461" s="45"/>
      <c r="R461" s="45"/>
      <c r="S461" s="45"/>
      <c r="T461" s="45"/>
      <c r="U461" s="45"/>
      <c r="V461" s="45"/>
      <c r="W461" s="45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41" t="s">
        <v>21</v>
      </c>
      <c r="B462" s="41" t="s">
        <v>33</v>
      </c>
      <c r="C462" s="41" t="s">
        <v>23</v>
      </c>
      <c r="D462" s="41" t="s">
        <v>51</v>
      </c>
      <c r="E462" s="41" t="s">
        <v>25</v>
      </c>
      <c r="F462" s="41" t="s">
        <v>25</v>
      </c>
      <c r="G462" s="41" t="s">
        <v>25</v>
      </c>
      <c r="H462" s="41" t="s">
        <v>25</v>
      </c>
      <c r="I462" s="61">
        <v>44562</v>
      </c>
      <c r="J462" s="62">
        <f>EFEITO!$J$462*EFEITO!$Y$462</f>
        <v>0</v>
      </c>
      <c r="K462" s="62">
        <f ca="1">EFEITO!$L$462*EFEITO!$Z$462</f>
        <v>6039.6473529118948</v>
      </c>
      <c r="L462" s="62">
        <f>EFEITO!$N$462*EFEITO!$AA$462</f>
        <v>1398.0596501928828</v>
      </c>
      <c r="M462" s="62">
        <f>$J$462-EFEITO!$K$462*EFEITO!$Y$462</f>
        <v>0</v>
      </c>
      <c r="N462" s="62">
        <f ca="1">$K$462-EFEITO!$M$462*EFEITO!$Z$462</f>
        <v>0</v>
      </c>
      <c r="O462" s="62">
        <f>$L$462-EFEITO!$O$462*EFEITO!$AA$462</f>
        <v>0</v>
      </c>
      <c r="P462" s="45"/>
      <c r="Q462" s="45"/>
      <c r="R462" s="45"/>
      <c r="S462" s="45"/>
      <c r="T462" s="45"/>
      <c r="U462" s="45"/>
      <c r="V462" s="45"/>
      <c r="W462" s="45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41" t="s">
        <v>21</v>
      </c>
      <c r="B463" s="41" t="s">
        <v>33</v>
      </c>
      <c r="C463" s="41" t="s">
        <v>23</v>
      </c>
      <c r="D463" s="41" t="s">
        <v>51</v>
      </c>
      <c r="E463" s="41" t="s">
        <v>25</v>
      </c>
      <c r="F463" s="41" t="s">
        <v>25</v>
      </c>
      <c r="G463" s="41" t="s">
        <v>25</v>
      </c>
      <c r="H463" s="41" t="s">
        <v>25</v>
      </c>
      <c r="I463" s="61">
        <v>44593</v>
      </c>
      <c r="J463" s="62">
        <f>EFEITO!$J$463*EFEITO!$Y$463</f>
        <v>0</v>
      </c>
      <c r="K463" s="62">
        <f ca="1">EFEITO!$L$463*EFEITO!$Z$463</f>
        <v>5330.2115942682813</v>
      </c>
      <c r="L463" s="62">
        <f>EFEITO!$N$463*EFEITO!$AA$463</f>
        <v>1233.8392163482777</v>
      </c>
      <c r="M463" s="62">
        <f>$J$463-EFEITO!$K$463*EFEITO!$Y$463</f>
        <v>0</v>
      </c>
      <c r="N463" s="62">
        <f ca="1">$K$463-EFEITO!$M$463*EFEITO!$Z$463</f>
        <v>0</v>
      </c>
      <c r="O463" s="62">
        <f>$L$463-EFEITO!$O$463*EFEITO!$AA$463</f>
        <v>0</v>
      </c>
      <c r="P463" s="45"/>
      <c r="Q463" s="45"/>
      <c r="R463" s="45"/>
      <c r="S463" s="45"/>
      <c r="T463" s="45"/>
      <c r="U463" s="45"/>
      <c r="V463" s="45"/>
      <c r="W463" s="45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41" t="s">
        <v>21</v>
      </c>
      <c r="B464" s="41" t="s">
        <v>33</v>
      </c>
      <c r="C464" s="41" t="s">
        <v>23</v>
      </c>
      <c r="D464" s="41" t="s">
        <v>51</v>
      </c>
      <c r="E464" s="41" t="s">
        <v>25</v>
      </c>
      <c r="F464" s="41" t="s">
        <v>25</v>
      </c>
      <c r="G464" s="41" t="s">
        <v>25</v>
      </c>
      <c r="H464" s="41" t="s">
        <v>25</v>
      </c>
      <c r="I464" s="61">
        <v>44621</v>
      </c>
      <c r="J464" s="62">
        <f>EFEITO!$J$464*EFEITO!$Y$464</f>
        <v>0</v>
      </c>
      <c r="K464" s="62">
        <f ca="1">EFEITO!$L$464*EFEITO!$Z$464</f>
        <v>4735.8673272515425</v>
      </c>
      <c r="L464" s="62">
        <f>EFEITO!$N$464*EFEITO!$AA$464</f>
        <v>1096.2602006398602</v>
      </c>
      <c r="M464" s="62">
        <f>$J$464-EFEITO!$K$464*EFEITO!$Y$464</f>
        <v>0</v>
      </c>
      <c r="N464" s="62">
        <f ca="1">$K$464-EFEITO!$M$464*EFEITO!$Z$464</f>
        <v>0</v>
      </c>
      <c r="O464" s="62">
        <f>$L$464-EFEITO!$O$464*EFEITO!$AA$464</f>
        <v>0</v>
      </c>
      <c r="P464" s="45"/>
      <c r="Q464" s="45"/>
      <c r="R464" s="45"/>
      <c r="S464" s="45"/>
      <c r="T464" s="45"/>
      <c r="U464" s="45"/>
      <c r="V464" s="45"/>
      <c r="W464" s="45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41" t="s">
        <v>21</v>
      </c>
      <c r="B465" s="41" t="s">
        <v>33</v>
      </c>
      <c r="C465" s="41" t="s">
        <v>23</v>
      </c>
      <c r="D465" s="41" t="s">
        <v>51</v>
      </c>
      <c r="E465" s="41" t="s">
        <v>25</v>
      </c>
      <c r="F465" s="41" t="s">
        <v>25</v>
      </c>
      <c r="G465" s="41" t="s">
        <v>25</v>
      </c>
      <c r="H465" s="41" t="s">
        <v>25</v>
      </c>
      <c r="I465" s="61">
        <v>44652</v>
      </c>
      <c r="J465" s="62">
        <f>EFEITO!$J$465*EFEITO!$Y$465</f>
        <v>0</v>
      </c>
      <c r="K465" s="62">
        <f ca="1">EFEITO!$L$465*EFEITO!$Z$465</f>
        <v>3966.820078072984</v>
      </c>
      <c r="L465" s="62">
        <f>EFEITO!$N$465*EFEITO!$AA$465</f>
        <v>918.24087842728079</v>
      </c>
      <c r="M465" s="62">
        <f>$J$465-EFEITO!$K$465*EFEITO!$Y$465</f>
        <v>0</v>
      </c>
      <c r="N465" s="62">
        <f ca="1">$K$465-EFEITO!$M$465*EFEITO!$Z$465</f>
        <v>0</v>
      </c>
      <c r="O465" s="62">
        <f>$L$465-EFEITO!$O$465*EFEITO!$AA$465</f>
        <v>0</v>
      </c>
      <c r="P465" s="45"/>
      <c r="Q465" s="45"/>
      <c r="R465" s="45"/>
      <c r="S465" s="45"/>
      <c r="T465" s="45"/>
      <c r="U465" s="45"/>
      <c r="V465" s="45"/>
      <c r="W465" s="45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41" t="s">
        <v>21</v>
      </c>
      <c r="B466" s="41" t="s">
        <v>33</v>
      </c>
      <c r="C466" s="41" t="s">
        <v>23</v>
      </c>
      <c r="D466" s="41" t="s">
        <v>51</v>
      </c>
      <c r="E466" s="41" t="s">
        <v>25</v>
      </c>
      <c r="F466" s="41" t="s">
        <v>25</v>
      </c>
      <c r="G466" s="41" t="s">
        <v>25</v>
      </c>
      <c r="H466" s="41" t="s">
        <v>25</v>
      </c>
      <c r="I466" s="61">
        <v>44682</v>
      </c>
      <c r="J466" s="62">
        <f>EFEITO!$J$466*EFEITO!$Y$466</f>
        <v>0</v>
      </c>
      <c r="K466" s="62">
        <f ca="1">EFEITO!$L$466*EFEITO!$Z$466</f>
        <v>2930.996653431102</v>
      </c>
      <c r="L466" s="62">
        <f>EFEITO!$N$466*EFEITO!$AA$466</f>
        <v>678.46811520158849</v>
      </c>
      <c r="M466" s="62">
        <f>$J$466-EFEITO!$K$466*EFEITO!$Y$466</f>
        <v>0</v>
      </c>
      <c r="N466" s="62">
        <f ca="1">$K$466-EFEITO!$M$466*EFEITO!$Z$466</f>
        <v>0</v>
      </c>
      <c r="O466" s="62">
        <f>$L$466-EFEITO!$O$466*EFEITO!$AA$466</f>
        <v>0</v>
      </c>
      <c r="P466" s="45"/>
      <c r="Q466" s="45"/>
      <c r="R466" s="45"/>
      <c r="S466" s="45"/>
      <c r="T466" s="45"/>
      <c r="U466" s="45"/>
      <c r="V466" s="45"/>
      <c r="W466" s="45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41" t="s">
        <v>21</v>
      </c>
      <c r="B467" s="41" t="s">
        <v>33</v>
      </c>
      <c r="C467" s="41" t="s">
        <v>23</v>
      </c>
      <c r="D467" s="41" t="s">
        <v>51</v>
      </c>
      <c r="E467" s="41" t="s">
        <v>25</v>
      </c>
      <c r="F467" s="41" t="s">
        <v>25</v>
      </c>
      <c r="G467" s="41" t="s">
        <v>25</v>
      </c>
      <c r="H467" s="41" t="s">
        <v>25</v>
      </c>
      <c r="I467" s="61">
        <v>44713</v>
      </c>
      <c r="J467" s="62">
        <f>EFEITO!$J$467*EFEITO!$Y$467</f>
        <v>0</v>
      </c>
      <c r="K467" s="62">
        <f ca="1">EFEITO!$L$467*EFEITO!$Z$467</f>
        <v>3230.234531660979</v>
      </c>
      <c r="L467" s="62">
        <f>EFEITO!$N$467*EFEITO!$AA$467</f>
        <v>747.73580235567738</v>
      </c>
      <c r="M467" s="62">
        <f>$J$467-EFEITO!$K$467*EFEITO!$Y$467</f>
        <v>0</v>
      </c>
      <c r="N467" s="62">
        <f ca="1">$K$467-EFEITO!$M$467*EFEITO!$Z$467</f>
        <v>0</v>
      </c>
      <c r="O467" s="62">
        <f>$L$467-EFEITO!$O$467*EFEITO!$AA$467</f>
        <v>0</v>
      </c>
      <c r="P467" s="45"/>
      <c r="Q467" s="45"/>
      <c r="R467" s="45"/>
      <c r="S467" s="45"/>
      <c r="T467" s="45"/>
      <c r="U467" s="45"/>
      <c r="V467" s="45"/>
      <c r="W467" s="45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41" t="s">
        <v>21</v>
      </c>
      <c r="B468" s="41" t="s">
        <v>33</v>
      </c>
      <c r="C468" s="41" t="s">
        <v>23</v>
      </c>
      <c r="D468" s="41" t="s">
        <v>51</v>
      </c>
      <c r="E468" s="41" t="s">
        <v>25</v>
      </c>
      <c r="F468" s="41" t="s">
        <v>25</v>
      </c>
      <c r="G468" s="41" t="s">
        <v>25</v>
      </c>
      <c r="H468" s="41" t="s">
        <v>25</v>
      </c>
      <c r="I468" s="61">
        <v>44743</v>
      </c>
      <c r="J468" s="62">
        <f>EFEITO!$J$468*EFEITO!$Y$468</f>
        <v>0</v>
      </c>
      <c r="K468" s="62">
        <f ca="1">EFEITO!$L$468*EFEITO!$Z$468</f>
        <v>3183.6077222326549</v>
      </c>
      <c r="L468" s="62">
        <f>EFEITO!$N$468*EFEITO!$AA$468</f>
        <v>736.94261244409358</v>
      </c>
      <c r="M468" s="62">
        <f>$J$468-EFEITO!$K$468*EFEITO!$Y$468</f>
        <v>0</v>
      </c>
      <c r="N468" s="62">
        <f ca="1">$K$468-EFEITO!$M$468*EFEITO!$Z$468</f>
        <v>0</v>
      </c>
      <c r="O468" s="62">
        <f>$L$468-EFEITO!$O$468*EFEITO!$AA$468</f>
        <v>0</v>
      </c>
      <c r="P468" s="45"/>
      <c r="Q468" s="45"/>
      <c r="R468" s="45"/>
      <c r="S468" s="45"/>
      <c r="T468" s="45"/>
      <c r="U468" s="45"/>
      <c r="V468" s="45"/>
      <c r="W468" s="45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41" t="s">
        <v>55</v>
      </c>
      <c r="B469" s="41" t="s">
        <v>33</v>
      </c>
      <c r="C469" s="41" t="s">
        <v>23</v>
      </c>
      <c r="D469" s="41" t="s">
        <v>51</v>
      </c>
      <c r="E469" s="41" t="s">
        <v>25</v>
      </c>
      <c r="F469" s="41" t="s">
        <v>25</v>
      </c>
      <c r="G469" s="41" t="s">
        <v>25</v>
      </c>
      <c r="H469" s="41" t="s">
        <v>25</v>
      </c>
      <c r="I469" s="61">
        <v>44774</v>
      </c>
      <c r="J469" s="62">
        <f>EFEITO!$J$469*EFEITO!$Y$469</f>
        <v>0</v>
      </c>
      <c r="K469" s="62">
        <f ca="1">EFEITO!$L$469*EFEITO!$Z$469</f>
        <v>3183.6077222326549</v>
      </c>
      <c r="L469" s="62">
        <f>EFEITO!$N$469*EFEITO!$AA$469</f>
        <v>736.94261244409358</v>
      </c>
      <c r="M469" s="62">
        <f>$J$469-EFEITO!$K$469*EFEITO!$Y$469</f>
        <v>0</v>
      </c>
      <c r="N469" s="62">
        <f ca="1">$K$469-EFEITO!$M$469*EFEITO!$Z$469</f>
        <v>0</v>
      </c>
      <c r="O469" s="62">
        <f>$L$469-EFEITO!$O$469*EFEITO!$AA$469</f>
        <v>0</v>
      </c>
      <c r="P469" s="45"/>
      <c r="Q469" s="45"/>
      <c r="R469" s="45"/>
      <c r="S469" s="45"/>
      <c r="T469" s="45"/>
      <c r="U469" s="45"/>
      <c r="V469" s="45"/>
      <c r="W469" s="45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41" t="s">
        <v>21</v>
      </c>
      <c r="B470" s="41" t="s">
        <v>33</v>
      </c>
      <c r="C470" s="41" t="s">
        <v>23</v>
      </c>
      <c r="D470" s="41" t="s">
        <v>34</v>
      </c>
      <c r="E470" s="41" t="s">
        <v>25</v>
      </c>
      <c r="F470" s="41" t="s">
        <v>25</v>
      </c>
      <c r="G470" s="41" t="s">
        <v>25</v>
      </c>
      <c r="H470" s="41" t="s">
        <v>25</v>
      </c>
      <c r="I470" s="61">
        <v>44440</v>
      </c>
      <c r="J470" s="62">
        <f>EFEITO!$J$470*EFEITO!$Y$470</f>
        <v>0</v>
      </c>
      <c r="K470" s="62">
        <f ca="1">EFEITO!$L$470*EFEITO!$Z$470</f>
        <v>210502.92839833329</v>
      </c>
      <c r="L470" s="62">
        <f>EFEITO!$N$470*EFEITO!$AA$470</f>
        <v>48727.290393745017</v>
      </c>
      <c r="M470" s="62">
        <f>$J$470-EFEITO!$K$470*EFEITO!$Y$470</f>
        <v>0</v>
      </c>
      <c r="N470" s="62">
        <f ca="1">$K$470-EFEITO!$M$470*EFEITO!$Z$470</f>
        <v>0</v>
      </c>
      <c r="O470" s="62">
        <f>$L$470-EFEITO!$O$470*EFEITO!$AA$470</f>
        <v>0</v>
      </c>
      <c r="P470" s="45"/>
      <c r="Q470" s="45"/>
      <c r="R470" s="45"/>
      <c r="S470" s="45"/>
      <c r="T470" s="45"/>
      <c r="U470" s="45"/>
      <c r="V470" s="45"/>
      <c r="W470" s="45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41" t="s">
        <v>27</v>
      </c>
      <c r="B471" s="41" t="s">
        <v>33</v>
      </c>
      <c r="C471" s="41" t="s">
        <v>23</v>
      </c>
      <c r="D471" s="41" t="s">
        <v>34</v>
      </c>
      <c r="E471" s="41" t="s">
        <v>25</v>
      </c>
      <c r="F471" s="41" t="s">
        <v>25</v>
      </c>
      <c r="G471" s="41" t="s">
        <v>25</v>
      </c>
      <c r="H471" s="41" t="s">
        <v>25</v>
      </c>
      <c r="I471" s="61">
        <v>44440</v>
      </c>
      <c r="J471" s="62">
        <f>EFEITO!$J$471*EFEITO!$Y$471</f>
        <v>0</v>
      </c>
      <c r="K471" s="62">
        <f ca="1">EFEITO!$L$471*EFEITO!$Z$471</f>
        <v>-17.70638332721165</v>
      </c>
      <c r="L471" s="62">
        <f>EFEITO!$N$471*EFEITO!$AA$471</f>
        <v>-4.0986797132596973</v>
      </c>
      <c r="M471" s="62">
        <f>$J$471-EFEITO!$K$471*EFEITO!$Y$471</f>
        <v>0</v>
      </c>
      <c r="N471" s="62">
        <f ca="1">$K$471-EFEITO!$M$471*EFEITO!$Z$471</f>
        <v>0</v>
      </c>
      <c r="O471" s="62">
        <f>$L$471-EFEITO!$O$471*EFEITO!$AA$471</f>
        <v>0</v>
      </c>
      <c r="P471" s="45"/>
      <c r="Q471" s="45"/>
      <c r="R471" s="45"/>
      <c r="S471" s="45"/>
      <c r="T471" s="45"/>
      <c r="U471" s="45"/>
      <c r="V471" s="45"/>
      <c r="W471" s="45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41" t="s">
        <v>28</v>
      </c>
      <c r="B472" s="41" t="s">
        <v>33</v>
      </c>
      <c r="C472" s="41" t="s">
        <v>23</v>
      </c>
      <c r="D472" s="41" t="s">
        <v>34</v>
      </c>
      <c r="E472" s="41" t="s">
        <v>25</v>
      </c>
      <c r="F472" s="41" t="s">
        <v>25</v>
      </c>
      <c r="G472" s="41" t="s">
        <v>25</v>
      </c>
      <c r="H472" s="41" t="s">
        <v>25</v>
      </c>
      <c r="I472" s="61">
        <v>44440</v>
      </c>
      <c r="J472" s="62">
        <f>EFEITO!$J$472*EFEITO!$Y$472</f>
        <v>0</v>
      </c>
      <c r="K472" s="62">
        <f ca="1">EFEITO!$L$472*EFEITO!$Z$472</f>
        <v>5415.2022342388973</v>
      </c>
      <c r="L472" s="62">
        <f>EFEITO!$N$472*EFEITO!$AA$472</f>
        <v>1253.512878971924</v>
      </c>
      <c r="M472" s="62">
        <f>$J$472-EFEITO!$K$472*EFEITO!$Y$472</f>
        <v>0</v>
      </c>
      <c r="N472" s="62">
        <f ca="1">$K$472-EFEITO!$M$472*EFEITO!$Z$472</f>
        <v>0</v>
      </c>
      <c r="O472" s="62">
        <f>$L$472-EFEITO!$O$472*EFEITO!$AA$472</f>
        <v>0</v>
      </c>
      <c r="P472" s="45"/>
      <c r="Q472" s="45"/>
      <c r="R472" s="45"/>
      <c r="S472" s="45"/>
      <c r="T472" s="45"/>
      <c r="U472" s="45"/>
      <c r="V472" s="45"/>
      <c r="W472" s="45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41" t="s">
        <v>21</v>
      </c>
      <c r="B473" s="41" t="s">
        <v>33</v>
      </c>
      <c r="C473" s="41" t="s">
        <v>23</v>
      </c>
      <c r="D473" s="41" t="s">
        <v>34</v>
      </c>
      <c r="E473" s="41" t="s">
        <v>25</v>
      </c>
      <c r="F473" s="41" t="s">
        <v>25</v>
      </c>
      <c r="G473" s="41" t="s">
        <v>25</v>
      </c>
      <c r="H473" s="41" t="s">
        <v>25</v>
      </c>
      <c r="I473" s="61">
        <v>44470</v>
      </c>
      <c r="J473" s="62">
        <f>EFEITO!$J$473*EFEITO!$Y$473</f>
        <v>0</v>
      </c>
      <c r="K473" s="62">
        <f ca="1">EFEITO!$L$473*EFEITO!$Z$473</f>
        <v>202942.30271761393</v>
      </c>
      <c r="L473" s="62">
        <f>EFEITO!$N$473*EFEITO!$AA$473</f>
        <v>46977.154156183125</v>
      </c>
      <c r="M473" s="62">
        <f>$J$473-EFEITO!$K$473*EFEITO!$Y$473</f>
        <v>0</v>
      </c>
      <c r="N473" s="62">
        <f ca="1">$K$473-EFEITO!$M$473*EFEITO!$Z$473</f>
        <v>0</v>
      </c>
      <c r="O473" s="62">
        <f>$L$473-EFEITO!$O$473*EFEITO!$AA$473</f>
        <v>0</v>
      </c>
      <c r="P473" s="45"/>
      <c r="Q473" s="45"/>
      <c r="R473" s="45"/>
      <c r="S473" s="45"/>
      <c r="T473" s="45"/>
      <c r="U473" s="45"/>
      <c r="V473" s="45"/>
      <c r="W473" s="45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41" t="s">
        <v>27</v>
      </c>
      <c r="B474" s="41" t="s">
        <v>33</v>
      </c>
      <c r="C474" s="41" t="s">
        <v>23</v>
      </c>
      <c r="D474" s="41" t="s">
        <v>34</v>
      </c>
      <c r="E474" s="41" t="s">
        <v>25</v>
      </c>
      <c r="F474" s="41" t="s">
        <v>25</v>
      </c>
      <c r="G474" s="41" t="s">
        <v>25</v>
      </c>
      <c r="H474" s="41" t="s">
        <v>25</v>
      </c>
      <c r="I474" s="61">
        <v>44470</v>
      </c>
      <c r="J474" s="62">
        <f>EFEITO!$J$474*EFEITO!$Y$474</f>
        <v>0</v>
      </c>
      <c r="K474" s="62">
        <f ca="1">EFEITO!$L$474*EFEITO!$Z$474</f>
        <v>537.09362759208682</v>
      </c>
      <c r="L474" s="62">
        <f>EFEITO!$N$474*EFEITO!$AA$474</f>
        <v>124.32661796887749</v>
      </c>
      <c r="M474" s="62">
        <f>$J$474-EFEITO!$K$474*EFEITO!$Y$474</f>
        <v>0</v>
      </c>
      <c r="N474" s="62">
        <f ca="1">$K$474-EFEITO!$M$474*EFEITO!$Z$474</f>
        <v>0</v>
      </c>
      <c r="O474" s="62">
        <f>$L$474-EFEITO!$O$474*EFEITO!$AA$474</f>
        <v>0</v>
      </c>
      <c r="P474" s="45"/>
      <c r="Q474" s="45"/>
      <c r="R474" s="45"/>
      <c r="S474" s="45"/>
      <c r="T474" s="45"/>
      <c r="U474" s="45"/>
      <c r="V474" s="45"/>
      <c r="W474" s="45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41" t="s">
        <v>28</v>
      </c>
      <c r="B475" s="41" t="s">
        <v>33</v>
      </c>
      <c r="C475" s="41" t="s">
        <v>23</v>
      </c>
      <c r="D475" s="41" t="s">
        <v>34</v>
      </c>
      <c r="E475" s="41" t="s">
        <v>25</v>
      </c>
      <c r="F475" s="41" t="s">
        <v>25</v>
      </c>
      <c r="G475" s="41" t="s">
        <v>25</v>
      </c>
      <c r="H475" s="41" t="s">
        <v>25</v>
      </c>
      <c r="I475" s="61">
        <v>44470</v>
      </c>
      <c r="J475" s="62">
        <f>EFEITO!$J$475*EFEITO!$Y$475</f>
        <v>0</v>
      </c>
      <c r="K475" s="62">
        <f ca="1">EFEITO!$L$475*EFEITO!$Z$475</f>
        <v>3584.9524109827858</v>
      </c>
      <c r="L475" s="62">
        <f>EFEITO!$N$475*EFEITO!$AA$475</f>
        <v>829.84601927797996</v>
      </c>
      <c r="M475" s="62">
        <f>$J$475-EFEITO!$K$475*EFEITO!$Y$475</f>
        <v>0</v>
      </c>
      <c r="N475" s="62">
        <f ca="1">$K$475-EFEITO!$M$475*EFEITO!$Z$475</f>
        <v>0</v>
      </c>
      <c r="O475" s="62">
        <f>$L$475-EFEITO!$O$475*EFEITO!$AA$475</f>
        <v>0</v>
      </c>
      <c r="P475" s="45"/>
      <c r="Q475" s="45"/>
      <c r="R475" s="45"/>
      <c r="S475" s="45"/>
      <c r="T475" s="45"/>
      <c r="U475" s="45"/>
      <c r="V475" s="45"/>
      <c r="W475" s="45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41" t="s">
        <v>21</v>
      </c>
      <c r="B476" s="41" t="s">
        <v>33</v>
      </c>
      <c r="C476" s="41" t="s">
        <v>23</v>
      </c>
      <c r="D476" s="41" t="s">
        <v>34</v>
      </c>
      <c r="E476" s="41" t="s">
        <v>25</v>
      </c>
      <c r="F476" s="41" t="s">
        <v>25</v>
      </c>
      <c r="G476" s="41" t="s">
        <v>25</v>
      </c>
      <c r="H476" s="41" t="s">
        <v>25</v>
      </c>
      <c r="I476" s="61">
        <v>44501</v>
      </c>
      <c r="J476" s="62">
        <f>EFEITO!$J$476*EFEITO!$Y$476</f>
        <v>0</v>
      </c>
      <c r="K476" s="62">
        <f ca="1">EFEITO!$L$476*EFEITO!$Z$476</f>
        <v>195208.74469306544</v>
      </c>
      <c r="L476" s="62">
        <f>EFEITO!$N$476*EFEITO!$AA$476</f>
        <v>45186.987480088399</v>
      </c>
      <c r="M476" s="62">
        <f>$J$476-EFEITO!$K$476*EFEITO!$Y$476</f>
        <v>0</v>
      </c>
      <c r="N476" s="62">
        <f ca="1">$K$476-EFEITO!$M$476*EFEITO!$Z$476</f>
        <v>0</v>
      </c>
      <c r="O476" s="62">
        <f>$L$476-EFEITO!$O$476*EFEITO!$AA$476</f>
        <v>0</v>
      </c>
      <c r="P476" s="45"/>
      <c r="Q476" s="45"/>
      <c r="R476" s="45"/>
      <c r="S476" s="45"/>
      <c r="T476" s="45"/>
      <c r="U476" s="45"/>
      <c r="V476" s="45"/>
      <c r="W476" s="45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41" t="s">
        <v>27</v>
      </c>
      <c r="B477" s="41" t="s">
        <v>33</v>
      </c>
      <c r="C477" s="41" t="s">
        <v>23</v>
      </c>
      <c r="D477" s="41" t="s">
        <v>34</v>
      </c>
      <c r="E477" s="41" t="s">
        <v>25</v>
      </c>
      <c r="F477" s="41" t="s">
        <v>25</v>
      </c>
      <c r="G477" s="41" t="s">
        <v>25</v>
      </c>
      <c r="H477" s="41" t="s">
        <v>25</v>
      </c>
      <c r="I477" s="61">
        <v>44501</v>
      </c>
      <c r="J477" s="62">
        <f>EFEITO!$J$477*EFEITO!$Y$477</f>
        <v>0</v>
      </c>
      <c r="K477" s="62">
        <f ca="1">EFEITO!$L$477*EFEITO!$Z$477</f>
        <v>2651.2357968611582</v>
      </c>
      <c r="L477" s="62">
        <f>EFEITO!$N$477*EFEITO!$AA$477</f>
        <v>613.70897573208526</v>
      </c>
      <c r="M477" s="62">
        <f>$J$477-EFEITO!$K$477*EFEITO!$Y$477</f>
        <v>0</v>
      </c>
      <c r="N477" s="62">
        <f ca="1">$K$477-EFEITO!$M$477*EFEITO!$Z$477</f>
        <v>0</v>
      </c>
      <c r="O477" s="62">
        <f>$L$477-EFEITO!$O$477*EFEITO!$AA$477</f>
        <v>0</v>
      </c>
      <c r="P477" s="45"/>
      <c r="Q477" s="45"/>
      <c r="R477" s="45"/>
      <c r="S477" s="45"/>
      <c r="T477" s="45"/>
      <c r="U477" s="45"/>
      <c r="V477" s="45"/>
      <c r="W477" s="45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41" t="s">
        <v>28</v>
      </c>
      <c r="B478" s="41" t="s">
        <v>33</v>
      </c>
      <c r="C478" s="41" t="s">
        <v>23</v>
      </c>
      <c r="D478" s="41" t="s">
        <v>34</v>
      </c>
      <c r="E478" s="41" t="s">
        <v>25</v>
      </c>
      <c r="F478" s="41" t="s">
        <v>25</v>
      </c>
      <c r="G478" s="41" t="s">
        <v>25</v>
      </c>
      <c r="H478" s="41" t="s">
        <v>25</v>
      </c>
      <c r="I478" s="61">
        <v>44501</v>
      </c>
      <c r="J478" s="62">
        <f>EFEITO!$J$478*EFEITO!$Y$478</f>
        <v>0</v>
      </c>
      <c r="K478" s="62">
        <f ca="1">EFEITO!$L$478*EFEITO!$Z$478</f>
        <v>4423.0545551374707</v>
      </c>
      <c r="L478" s="62">
        <f>EFEITO!$N$478*EFEITO!$AA$478</f>
        <v>1023.8501923722723</v>
      </c>
      <c r="M478" s="62">
        <f>$J$478-EFEITO!$K$478*EFEITO!$Y$478</f>
        <v>0</v>
      </c>
      <c r="N478" s="62">
        <f ca="1">$K$478-EFEITO!$M$478*EFEITO!$Z$478</f>
        <v>0</v>
      </c>
      <c r="O478" s="62">
        <f>$L$478-EFEITO!$O$478*EFEITO!$AA$478</f>
        <v>0</v>
      </c>
      <c r="P478" s="45"/>
      <c r="Q478" s="45"/>
      <c r="R478" s="45"/>
      <c r="S478" s="45"/>
      <c r="T478" s="45"/>
      <c r="U478" s="45"/>
      <c r="V478" s="45"/>
      <c r="W478" s="45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41" t="s">
        <v>21</v>
      </c>
      <c r="B479" s="41" t="s">
        <v>33</v>
      </c>
      <c r="C479" s="41" t="s">
        <v>23</v>
      </c>
      <c r="D479" s="41" t="s">
        <v>34</v>
      </c>
      <c r="E479" s="41" t="s">
        <v>25</v>
      </c>
      <c r="F479" s="41" t="s">
        <v>25</v>
      </c>
      <c r="G479" s="41" t="s">
        <v>25</v>
      </c>
      <c r="H479" s="41" t="s">
        <v>25</v>
      </c>
      <c r="I479" s="61">
        <v>44531</v>
      </c>
      <c r="J479" s="62">
        <f>EFEITO!$J$479*EFEITO!$Y$479</f>
        <v>0</v>
      </c>
      <c r="K479" s="62">
        <f ca="1">EFEITO!$L$479*EFEITO!$Z$479</f>
        <v>210823.41393655582</v>
      </c>
      <c r="L479" s="62">
        <f>EFEITO!$N$479*EFEITO!$AA$479</f>
        <v>48801.47649655502</v>
      </c>
      <c r="M479" s="62">
        <f>$J$479-EFEITO!$K$479*EFEITO!$Y$479</f>
        <v>0</v>
      </c>
      <c r="N479" s="62">
        <f ca="1">$K$479-EFEITO!$M$479*EFEITO!$Z$479</f>
        <v>0</v>
      </c>
      <c r="O479" s="62">
        <f>$L$479-EFEITO!$O$479*EFEITO!$AA$479</f>
        <v>0</v>
      </c>
      <c r="P479" s="45"/>
      <c r="Q479" s="45"/>
      <c r="R479" s="45"/>
      <c r="S479" s="45"/>
      <c r="T479" s="45"/>
      <c r="U479" s="45"/>
      <c r="V479" s="45"/>
      <c r="W479" s="45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41" t="s">
        <v>28</v>
      </c>
      <c r="B480" s="41" t="s">
        <v>33</v>
      </c>
      <c r="C480" s="41" t="s">
        <v>23</v>
      </c>
      <c r="D480" s="41" t="s">
        <v>34</v>
      </c>
      <c r="E480" s="41" t="s">
        <v>25</v>
      </c>
      <c r="F480" s="41" t="s">
        <v>25</v>
      </c>
      <c r="G480" s="41" t="s">
        <v>25</v>
      </c>
      <c r="H480" s="41" t="s">
        <v>25</v>
      </c>
      <c r="I480" s="61">
        <v>44531</v>
      </c>
      <c r="J480" s="62">
        <f>EFEITO!$J$480*EFEITO!$Y$480</f>
        <v>0</v>
      </c>
      <c r="K480" s="62">
        <f ca="1">EFEITO!$L$480*EFEITO!$Z$480</f>
        <v>2854.8592051240917</v>
      </c>
      <c r="L480" s="62">
        <f>EFEITO!$N$480*EFEITO!$AA$480</f>
        <v>660.84379243457181</v>
      </c>
      <c r="M480" s="62">
        <f>$J$480-EFEITO!$K$480*EFEITO!$Y$480</f>
        <v>0</v>
      </c>
      <c r="N480" s="62">
        <f ca="1">$K$480-EFEITO!$M$480*EFEITO!$Z$480</f>
        <v>0</v>
      </c>
      <c r="O480" s="62">
        <f>$L$480-EFEITO!$O$480*EFEITO!$AA$480</f>
        <v>0</v>
      </c>
      <c r="P480" s="45"/>
      <c r="Q480" s="45"/>
      <c r="R480" s="45"/>
      <c r="S480" s="45"/>
      <c r="T480" s="45"/>
      <c r="U480" s="45"/>
      <c r="V480" s="45"/>
      <c r="W480" s="45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41" t="s">
        <v>21</v>
      </c>
      <c r="B481" s="41" t="s">
        <v>33</v>
      </c>
      <c r="C481" s="41" t="s">
        <v>23</v>
      </c>
      <c r="D481" s="41" t="s">
        <v>34</v>
      </c>
      <c r="E481" s="41" t="s">
        <v>25</v>
      </c>
      <c r="F481" s="41" t="s">
        <v>25</v>
      </c>
      <c r="G481" s="41" t="s">
        <v>25</v>
      </c>
      <c r="H481" s="41" t="s">
        <v>25</v>
      </c>
      <c r="I481" s="61">
        <v>44562</v>
      </c>
      <c r="J481" s="62">
        <f>EFEITO!$J$481*EFEITO!$Y$481</f>
        <v>0</v>
      </c>
      <c r="K481" s="62">
        <f ca="1">EFEITO!$L$481*EFEITO!$Z$481</f>
        <v>221344.54690958498</v>
      </c>
      <c r="L481" s="62">
        <f>EFEITO!$N$481*EFEITO!$AA$481</f>
        <v>51236.91198217393</v>
      </c>
      <c r="M481" s="62">
        <f>$J$481-EFEITO!$K$481*EFEITO!$Y$481</f>
        <v>0</v>
      </c>
      <c r="N481" s="62">
        <f ca="1">$K$481-EFEITO!$M$481*EFEITO!$Z$481</f>
        <v>0</v>
      </c>
      <c r="O481" s="62">
        <f>$L$481-EFEITO!$O$481*EFEITO!$AA$481</f>
        <v>0</v>
      </c>
      <c r="P481" s="45"/>
      <c r="Q481" s="45"/>
      <c r="R481" s="45"/>
      <c r="S481" s="45"/>
      <c r="T481" s="45"/>
      <c r="U481" s="45"/>
      <c r="V481" s="45"/>
      <c r="W481" s="45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41" t="s">
        <v>27</v>
      </c>
      <c r="B482" s="41" t="s">
        <v>33</v>
      </c>
      <c r="C482" s="41" t="s">
        <v>23</v>
      </c>
      <c r="D482" s="41" t="s">
        <v>34</v>
      </c>
      <c r="E482" s="41" t="s">
        <v>25</v>
      </c>
      <c r="F482" s="41" t="s">
        <v>25</v>
      </c>
      <c r="G482" s="41" t="s">
        <v>25</v>
      </c>
      <c r="H482" s="41" t="s">
        <v>25</v>
      </c>
      <c r="I482" s="61">
        <v>44562</v>
      </c>
      <c r="J482" s="62">
        <f>EFEITO!$J$482*EFEITO!$Y$482</f>
        <v>0</v>
      </c>
      <c r="K482" s="62">
        <f ca="1">EFEITO!$L$482*EFEITO!$Z$482</f>
        <v>-332.88000655157902</v>
      </c>
      <c r="L482" s="62">
        <f>EFEITO!$N$482*EFEITO!$AA$482</f>
        <v>-77.055178609282294</v>
      </c>
      <c r="M482" s="62">
        <f>$J$482-EFEITO!$K$482*EFEITO!$Y$482</f>
        <v>0</v>
      </c>
      <c r="N482" s="62">
        <f ca="1">$K$482-EFEITO!$M$482*EFEITO!$Z$482</f>
        <v>0</v>
      </c>
      <c r="O482" s="62">
        <f>$L$482-EFEITO!$O$482*EFEITO!$AA$482</f>
        <v>0</v>
      </c>
      <c r="P482" s="45"/>
      <c r="Q482" s="45"/>
      <c r="R482" s="45"/>
      <c r="S482" s="45"/>
      <c r="T482" s="45"/>
      <c r="U482" s="45"/>
      <c r="V482" s="45"/>
      <c r="W482" s="45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41" t="s">
        <v>28</v>
      </c>
      <c r="B483" s="41" t="s">
        <v>33</v>
      </c>
      <c r="C483" s="41" t="s">
        <v>23</v>
      </c>
      <c r="D483" s="41" t="s">
        <v>34</v>
      </c>
      <c r="E483" s="41" t="s">
        <v>25</v>
      </c>
      <c r="F483" s="41" t="s">
        <v>25</v>
      </c>
      <c r="G483" s="41" t="s">
        <v>25</v>
      </c>
      <c r="H483" s="41" t="s">
        <v>25</v>
      </c>
      <c r="I483" s="61">
        <v>44562</v>
      </c>
      <c r="J483" s="62">
        <f>EFEITO!$J$483*EFEITO!$Y$483</f>
        <v>0</v>
      </c>
      <c r="K483" s="62">
        <f ca="1">EFEITO!$L$483*EFEITO!$Z$483</f>
        <v>531.19149981634962</v>
      </c>
      <c r="L483" s="62">
        <f>EFEITO!$N$483*EFEITO!$AA$483</f>
        <v>122.96039139779091</v>
      </c>
      <c r="M483" s="62">
        <f>$J$483-EFEITO!$K$483*EFEITO!$Y$483</f>
        <v>0</v>
      </c>
      <c r="N483" s="62">
        <f ca="1">$K$483-EFEITO!$M$483*EFEITO!$Z$483</f>
        <v>0</v>
      </c>
      <c r="O483" s="62">
        <f>$L$483-EFEITO!$O$483*EFEITO!$AA$483</f>
        <v>0</v>
      </c>
      <c r="P483" s="45"/>
      <c r="Q483" s="45"/>
      <c r="R483" s="45"/>
      <c r="S483" s="45"/>
      <c r="T483" s="45"/>
      <c r="U483" s="45"/>
      <c r="V483" s="45"/>
      <c r="W483" s="45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41" t="s">
        <v>21</v>
      </c>
      <c r="B484" s="41" t="s">
        <v>33</v>
      </c>
      <c r="C484" s="41" t="s">
        <v>23</v>
      </c>
      <c r="D484" s="41" t="s">
        <v>34</v>
      </c>
      <c r="E484" s="41" t="s">
        <v>25</v>
      </c>
      <c r="F484" s="41" t="s">
        <v>25</v>
      </c>
      <c r="G484" s="41" t="s">
        <v>25</v>
      </c>
      <c r="H484" s="41" t="s">
        <v>25</v>
      </c>
      <c r="I484" s="61">
        <v>44593</v>
      </c>
      <c r="J484" s="62">
        <f>EFEITO!$J$484*EFEITO!$Y$484</f>
        <v>0</v>
      </c>
      <c r="K484" s="62">
        <f ca="1">EFEITO!$L$484*EFEITO!$Z$484</f>
        <v>255869.04333375982</v>
      </c>
      <c r="L484" s="62">
        <f>EFEITO!$N$484*EFEITO!$AA$484</f>
        <v>59228.654309744794</v>
      </c>
      <c r="M484" s="62">
        <f>$J$484-EFEITO!$K$484*EFEITO!$Y$484</f>
        <v>0</v>
      </c>
      <c r="N484" s="62">
        <f ca="1">$K$484-EFEITO!$M$484*EFEITO!$Z$484</f>
        <v>0</v>
      </c>
      <c r="O484" s="62">
        <f>$L$484-EFEITO!$O$484*EFEITO!$AA$484</f>
        <v>0</v>
      </c>
      <c r="P484" s="45"/>
      <c r="Q484" s="45"/>
      <c r="R484" s="45"/>
      <c r="S484" s="45"/>
      <c r="T484" s="45"/>
      <c r="U484" s="45"/>
      <c r="V484" s="45"/>
      <c r="W484" s="45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41" t="s">
        <v>27</v>
      </c>
      <c r="B485" s="41" t="s">
        <v>33</v>
      </c>
      <c r="C485" s="41" t="s">
        <v>23</v>
      </c>
      <c r="D485" s="41" t="s">
        <v>34</v>
      </c>
      <c r="E485" s="41" t="s">
        <v>25</v>
      </c>
      <c r="F485" s="41" t="s">
        <v>25</v>
      </c>
      <c r="G485" s="41" t="s">
        <v>25</v>
      </c>
      <c r="H485" s="41" t="s">
        <v>25</v>
      </c>
      <c r="I485" s="61">
        <v>44593</v>
      </c>
      <c r="J485" s="62">
        <f>EFEITO!$J$485*EFEITO!$Y$485</f>
        <v>0</v>
      </c>
      <c r="K485" s="62">
        <f ca="1">EFEITO!$L$485*EFEITO!$Z$485</f>
        <v>-252.6110688015529</v>
      </c>
      <c r="L485" s="62">
        <f>EFEITO!$N$485*EFEITO!$AA$485</f>
        <v>-58.474497242505009</v>
      </c>
      <c r="M485" s="62">
        <f>$J$485-EFEITO!$K$485*EFEITO!$Y$485</f>
        <v>0</v>
      </c>
      <c r="N485" s="62">
        <f ca="1">$K$485-EFEITO!$M$485*EFEITO!$Z$485</f>
        <v>0</v>
      </c>
      <c r="O485" s="62">
        <f>$L$485-EFEITO!$O$485*EFEITO!$AA$485</f>
        <v>0</v>
      </c>
      <c r="P485" s="45"/>
      <c r="Q485" s="45"/>
      <c r="R485" s="45"/>
      <c r="S485" s="45"/>
      <c r="T485" s="45"/>
      <c r="U485" s="45"/>
      <c r="V485" s="45"/>
      <c r="W485" s="45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41" t="s">
        <v>28</v>
      </c>
      <c r="B486" s="41" t="s">
        <v>33</v>
      </c>
      <c r="C486" s="41" t="s">
        <v>23</v>
      </c>
      <c r="D486" s="41" t="s">
        <v>34</v>
      </c>
      <c r="E486" s="41" t="s">
        <v>25</v>
      </c>
      <c r="F486" s="41" t="s">
        <v>25</v>
      </c>
      <c r="G486" s="41" t="s">
        <v>25</v>
      </c>
      <c r="H486" s="41" t="s">
        <v>25</v>
      </c>
      <c r="I486" s="61">
        <v>44593</v>
      </c>
      <c r="J486" s="62">
        <f>EFEITO!$J$486*EFEITO!$Y$486</f>
        <v>0</v>
      </c>
      <c r="K486" s="62">
        <f ca="1">EFEITO!$L$486*EFEITO!$Z$486</f>
        <v>531.19149981634962</v>
      </c>
      <c r="L486" s="62">
        <f>EFEITO!$N$486*EFEITO!$AA$486</f>
        <v>122.96039139779091</v>
      </c>
      <c r="M486" s="62">
        <f>$J$486-EFEITO!$K$486*EFEITO!$Y$486</f>
        <v>0</v>
      </c>
      <c r="N486" s="62">
        <f ca="1">$K$486-EFEITO!$M$486*EFEITO!$Z$486</f>
        <v>0</v>
      </c>
      <c r="O486" s="62">
        <f>$L$486-EFEITO!$O$486*EFEITO!$AA$486</f>
        <v>0</v>
      </c>
      <c r="P486" s="45"/>
      <c r="Q486" s="45"/>
      <c r="R486" s="45"/>
      <c r="S486" s="45"/>
      <c r="T486" s="45"/>
      <c r="U486" s="45"/>
      <c r="V486" s="45"/>
      <c r="W486" s="45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41" t="s">
        <v>21</v>
      </c>
      <c r="B487" s="41" t="s">
        <v>33</v>
      </c>
      <c r="C487" s="41" t="s">
        <v>23</v>
      </c>
      <c r="D487" s="41" t="s">
        <v>34</v>
      </c>
      <c r="E487" s="41" t="s">
        <v>25</v>
      </c>
      <c r="F487" s="41" t="s">
        <v>25</v>
      </c>
      <c r="G487" s="41" t="s">
        <v>25</v>
      </c>
      <c r="H487" s="41" t="s">
        <v>25</v>
      </c>
      <c r="I487" s="61">
        <v>44621</v>
      </c>
      <c r="J487" s="62">
        <f>EFEITO!$J$487*EFEITO!$Y$487</f>
        <v>0</v>
      </c>
      <c r="K487" s="62">
        <f ca="1">EFEITO!$L$487*EFEITO!$Z$487</f>
        <v>229223.88749019417</v>
      </c>
      <c r="L487" s="62">
        <f>EFEITO!$N$487*EFEITO!$AA$487</f>
        <v>53060.824454574496</v>
      </c>
      <c r="M487" s="62">
        <f>$J$487-EFEITO!$K$487*EFEITO!$Y$487</f>
        <v>0</v>
      </c>
      <c r="N487" s="62">
        <f ca="1">$K$487-EFEITO!$M$487*EFEITO!$Z$487</f>
        <v>0</v>
      </c>
      <c r="O487" s="62">
        <f>$L$487-EFEITO!$O$487*EFEITO!$AA$487</f>
        <v>0</v>
      </c>
      <c r="P487" s="45"/>
      <c r="Q487" s="45"/>
      <c r="R487" s="45"/>
      <c r="S487" s="45"/>
      <c r="T487" s="45"/>
      <c r="U487" s="45"/>
      <c r="V487" s="45"/>
      <c r="W487" s="45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41" t="s">
        <v>27</v>
      </c>
      <c r="B488" s="41" t="s">
        <v>33</v>
      </c>
      <c r="C488" s="41" t="s">
        <v>23</v>
      </c>
      <c r="D488" s="41" t="s">
        <v>34</v>
      </c>
      <c r="E488" s="41" t="s">
        <v>25</v>
      </c>
      <c r="F488" s="41" t="s">
        <v>25</v>
      </c>
      <c r="G488" s="41" t="s">
        <v>25</v>
      </c>
      <c r="H488" s="41" t="s">
        <v>25</v>
      </c>
      <c r="I488" s="61">
        <v>44621</v>
      </c>
      <c r="J488" s="62">
        <f>EFEITO!$J$488*EFEITO!$Y$488</f>
        <v>0</v>
      </c>
      <c r="K488" s="62">
        <f ca="1">EFEITO!$L$488*EFEITO!$Z$488</f>
        <v>-7172.8558858534407</v>
      </c>
      <c r="L488" s="62">
        <f>EFEITO!$N$488*EFEITO!$AA$488</f>
        <v>-1660.3751518415033</v>
      </c>
      <c r="M488" s="62">
        <f>$J$488-EFEITO!$K$488*EFEITO!$Y$488</f>
        <v>0</v>
      </c>
      <c r="N488" s="62">
        <f ca="1">$K$488-EFEITO!$M$488*EFEITO!$Z$488</f>
        <v>0</v>
      </c>
      <c r="O488" s="62">
        <f>$L$488-EFEITO!$O$488*EFEITO!$AA$488</f>
        <v>0</v>
      </c>
      <c r="P488" s="45"/>
      <c r="Q488" s="45"/>
      <c r="R488" s="45"/>
      <c r="S488" s="45"/>
      <c r="T488" s="45"/>
      <c r="U488" s="45"/>
      <c r="V488" s="45"/>
      <c r="W488" s="45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41" t="s">
        <v>28</v>
      </c>
      <c r="B489" s="41" t="s">
        <v>33</v>
      </c>
      <c r="C489" s="41" t="s">
        <v>23</v>
      </c>
      <c r="D489" s="41" t="s">
        <v>34</v>
      </c>
      <c r="E489" s="41" t="s">
        <v>25</v>
      </c>
      <c r="F489" s="41" t="s">
        <v>25</v>
      </c>
      <c r="G489" s="41" t="s">
        <v>25</v>
      </c>
      <c r="H489" s="41" t="s">
        <v>25</v>
      </c>
      <c r="I489" s="61">
        <v>44621</v>
      </c>
      <c r="J489" s="62">
        <f>EFEITO!$J$489*EFEITO!$Y$489</f>
        <v>0</v>
      </c>
      <c r="K489" s="62">
        <f ca="1">EFEITO!$L$489*EFEITO!$Z$489</f>
        <v>1914.6502504491534</v>
      </c>
      <c r="L489" s="62">
        <f>EFEITO!$N$489*EFEITO!$AA$489</f>
        <v>443.20389966048197</v>
      </c>
      <c r="M489" s="62">
        <f>$J$489-EFEITO!$K$489*EFEITO!$Y$489</f>
        <v>0</v>
      </c>
      <c r="N489" s="62">
        <f ca="1">$K$489-EFEITO!$M$489*EFEITO!$Z$489</f>
        <v>0</v>
      </c>
      <c r="O489" s="62">
        <f>$L$489-EFEITO!$O$489*EFEITO!$AA$489</f>
        <v>0</v>
      </c>
      <c r="P489" s="45"/>
      <c r="Q489" s="45"/>
      <c r="R489" s="45"/>
      <c r="S489" s="45"/>
      <c r="T489" s="45"/>
      <c r="U489" s="45"/>
      <c r="V489" s="45"/>
      <c r="W489" s="45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41" t="s">
        <v>21</v>
      </c>
      <c r="B490" s="41" t="s">
        <v>33</v>
      </c>
      <c r="C490" s="41" t="s">
        <v>23</v>
      </c>
      <c r="D490" s="41" t="s">
        <v>34</v>
      </c>
      <c r="E490" s="41" t="s">
        <v>25</v>
      </c>
      <c r="F490" s="41" t="s">
        <v>25</v>
      </c>
      <c r="G490" s="41" t="s">
        <v>25</v>
      </c>
      <c r="H490" s="41" t="s">
        <v>25</v>
      </c>
      <c r="I490" s="61">
        <v>44652</v>
      </c>
      <c r="J490" s="62">
        <f>EFEITO!$J$490*EFEITO!$Y$490</f>
        <v>0</v>
      </c>
      <c r="K490" s="62">
        <f ca="1">EFEITO!$L$490*EFEITO!$Z$490</f>
        <v>220011.84645782353</v>
      </c>
      <c r="L490" s="62">
        <f>EFEITO!$N$490*EFEITO!$AA$490</f>
        <v>50928.418022422586</v>
      </c>
      <c r="M490" s="62">
        <f>$J$490-EFEITO!$K$490*EFEITO!$Y$490</f>
        <v>0</v>
      </c>
      <c r="N490" s="62">
        <f ca="1">$K$490-EFEITO!$M$490*EFEITO!$Z$490</f>
        <v>0</v>
      </c>
      <c r="O490" s="62">
        <f>$L$490-EFEITO!$O$490*EFEITO!$AA$490</f>
        <v>0</v>
      </c>
      <c r="P490" s="45"/>
      <c r="Q490" s="45"/>
      <c r="R490" s="45"/>
      <c r="S490" s="45"/>
      <c r="T490" s="45"/>
      <c r="U490" s="45"/>
      <c r="V490" s="45"/>
      <c r="W490" s="45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41" t="s">
        <v>27</v>
      </c>
      <c r="B491" s="41" t="s">
        <v>33</v>
      </c>
      <c r="C491" s="41" t="s">
        <v>23</v>
      </c>
      <c r="D491" s="41" t="s">
        <v>34</v>
      </c>
      <c r="E491" s="41" t="s">
        <v>25</v>
      </c>
      <c r="F491" s="41" t="s">
        <v>25</v>
      </c>
      <c r="G491" s="41" t="s">
        <v>25</v>
      </c>
      <c r="H491" s="41" t="s">
        <v>25</v>
      </c>
      <c r="I491" s="61">
        <v>44652</v>
      </c>
      <c r="J491" s="62">
        <f>EFEITO!$J$491*EFEITO!$Y$491</f>
        <v>0</v>
      </c>
      <c r="K491" s="62">
        <f ca="1">EFEITO!$L$491*EFEITO!$Z$491</f>
        <v>-103.2872360754013</v>
      </c>
      <c r="L491" s="62">
        <f>EFEITO!$N$491*EFEITO!$AA$491</f>
        <v>-23.908964994014898</v>
      </c>
      <c r="M491" s="62">
        <f>$J$491-EFEITO!$K$491*EFEITO!$Y$491</f>
        <v>0</v>
      </c>
      <c r="N491" s="62">
        <f ca="1">$K$491-EFEITO!$M$491*EFEITO!$Z$491</f>
        <v>0</v>
      </c>
      <c r="O491" s="62">
        <f>$L$491-EFEITO!$O$491*EFEITO!$AA$491</f>
        <v>0</v>
      </c>
      <c r="P491" s="45"/>
      <c r="Q491" s="45"/>
      <c r="R491" s="45"/>
      <c r="S491" s="45"/>
      <c r="T491" s="45"/>
      <c r="U491" s="45"/>
      <c r="V491" s="45"/>
      <c r="W491" s="45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41" t="s">
        <v>28</v>
      </c>
      <c r="B492" s="41" t="s">
        <v>33</v>
      </c>
      <c r="C492" s="41" t="s">
        <v>23</v>
      </c>
      <c r="D492" s="41" t="s">
        <v>34</v>
      </c>
      <c r="E492" s="41" t="s">
        <v>25</v>
      </c>
      <c r="F492" s="41" t="s">
        <v>25</v>
      </c>
      <c r="G492" s="41" t="s">
        <v>25</v>
      </c>
      <c r="H492" s="41" t="s">
        <v>25</v>
      </c>
      <c r="I492" s="61">
        <v>44652</v>
      </c>
      <c r="J492" s="62">
        <f>EFEITO!$J$492*EFEITO!$Y$492</f>
        <v>0</v>
      </c>
      <c r="K492" s="62">
        <f ca="1">EFEITO!$L$492*EFEITO!$Z$492</f>
        <v>2763.9664373777387</v>
      </c>
      <c r="L492" s="62">
        <f>EFEITO!$N$492*EFEITO!$AA$492</f>
        <v>639.80390323983863</v>
      </c>
      <c r="M492" s="62">
        <f>$J$492-EFEITO!$K$492*EFEITO!$Y$492</f>
        <v>0</v>
      </c>
      <c r="N492" s="62">
        <f ca="1">$K$492-EFEITO!$M$492*EFEITO!$Z$492</f>
        <v>0</v>
      </c>
      <c r="O492" s="62">
        <f>$L$492-EFEITO!$O$492*EFEITO!$AA$492</f>
        <v>0</v>
      </c>
      <c r="P492" s="45"/>
      <c r="Q492" s="45"/>
      <c r="R492" s="45"/>
      <c r="S492" s="45"/>
      <c r="T492" s="45"/>
      <c r="U492" s="45"/>
      <c r="V492" s="45"/>
      <c r="W492" s="45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41" t="s">
        <v>21</v>
      </c>
      <c r="B493" s="41" t="s">
        <v>33</v>
      </c>
      <c r="C493" s="41" t="s">
        <v>23</v>
      </c>
      <c r="D493" s="41" t="s">
        <v>34</v>
      </c>
      <c r="E493" s="41" t="s">
        <v>25</v>
      </c>
      <c r="F493" s="41" t="s">
        <v>25</v>
      </c>
      <c r="G493" s="41" t="s">
        <v>25</v>
      </c>
      <c r="H493" s="41" t="s">
        <v>25</v>
      </c>
      <c r="I493" s="61">
        <v>44682</v>
      </c>
      <c r="J493" s="62">
        <f>EFEITO!$J$493*EFEITO!$Y$493</f>
        <v>0</v>
      </c>
      <c r="K493" s="62">
        <f ca="1">EFEITO!$L$493*EFEITO!$Z$493</f>
        <v>204386.55338433682</v>
      </c>
      <c r="L493" s="62">
        <f>EFEITO!$N$493*EFEITO!$AA$493</f>
        <v>47311.469798128011</v>
      </c>
      <c r="M493" s="62">
        <f>$J$493-EFEITO!$K$493*EFEITO!$Y$493</f>
        <v>0</v>
      </c>
      <c r="N493" s="62">
        <f ca="1">$K$493-EFEITO!$M$493*EFEITO!$Z$493</f>
        <v>0</v>
      </c>
      <c r="O493" s="62">
        <f>$L$493-EFEITO!$O$493*EFEITO!$AA$493</f>
        <v>0</v>
      </c>
      <c r="P493" s="45"/>
      <c r="Q493" s="45"/>
      <c r="R493" s="45"/>
      <c r="S493" s="45"/>
      <c r="T493" s="45"/>
      <c r="U493" s="45"/>
      <c r="V493" s="45"/>
      <c r="W493" s="45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41" t="s">
        <v>28</v>
      </c>
      <c r="B494" s="41" t="s">
        <v>33</v>
      </c>
      <c r="C494" s="41" t="s">
        <v>23</v>
      </c>
      <c r="D494" s="41" t="s">
        <v>34</v>
      </c>
      <c r="E494" s="41" t="s">
        <v>25</v>
      </c>
      <c r="F494" s="41" t="s">
        <v>25</v>
      </c>
      <c r="G494" s="41" t="s">
        <v>25</v>
      </c>
      <c r="H494" s="41" t="s">
        <v>25</v>
      </c>
      <c r="I494" s="61">
        <v>44682</v>
      </c>
      <c r="J494" s="62">
        <f>EFEITO!$J$494*EFEITO!$Y$494</f>
        <v>0</v>
      </c>
      <c r="K494" s="62">
        <f ca="1">EFEITO!$L$494*EFEITO!$Z$494</f>
        <v>2412.7898347213745</v>
      </c>
      <c r="L494" s="62">
        <f>EFEITO!$N$494*EFEITO!$AA$494</f>
        <v>558.51342226018801</v>
      </c>
      <c r="M494" s="62">
        <f>$J$494-EFEITO!$K$494*EFEITO!$Y$494</f>
        <v>0</v>
      </c>
      <c r="N494" s="62">
        <f ca="1">$K$494-EFEITO!$M$494*EFEITO!$Z$494</f>
        <v>0</v>
      </c>
      <c r="O494" s="62">
        <f>$L$494-EFEITO!$O$494*EFEITO!$AA$494</f>
        <v>0</v>
      </c>
      <c r="P494" s="45"/>
      <c r="Q494" s="45"/>
      <c r="R494" s="45"/>
      <c r="S494" s="45"/>
      <c r="T494" s="45"/>
      <c r="U494" s="45"/>
      <c r="V494" s="45"/>
      <c r="W494" s="45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41" t="s">
        <v>21</v>
      </c>
      <c r="B495" s="41" t="s">
        <v>33</v>
      </c>
      <c r="C495" s="41" t="s">
        <v>23</v>
      </c>
      <c r="D495" s="41" t="s">
        <v>34</v>
      </c>
      <c r="E495" s="41" t="s">
        <v>25</v>
      </c>
      <c r="F495" s="41" t="s">
        <v>25</v>
      </c>
      <c r="G495" s="41" t="s">
        <v>25</v>
      </c>
      <c r="H495" s="41" t="s">
        <v>25</v>
      </c>
      <c r="I495" s="61">
        <v>44713</v>
      </c>
      <c r="J495" s="62">
        <f>EFEITO!$J$495*EFEITO!$Y$495</f>
        <v>0</v>
      </c>
      <c r="K495" s="62">
        <f ca="1">EFEITO!$L$495*EFEITO!$Z$495</f>
        <v>203131.1708064375</v>
      </c>
      <c r="L495" s="62">
        <f>EFEITO!$N$495*EFEITO!$AA$495</f>
        <v>47020.873406457897</v>
      </c>
      <c r="M495" s="62">
        <f>$J$495-EFEITO!$K$495*EFEITO!$Y$495</f>
        <v>0</v>
      </c>
      <c r="N495" s="62">
        <f ca="1">$K$495-EFEITO!$M$495*EFEITO!$Z$495</f>
        <v>0</v>
      </c>
      <c r="O495" s="62">
        <f>$L$495-EFEITO!$O$495*EFEITO!$AA$495</f>
        <v>0</v>
      </c>
      <c r="P495" s="45"/>
      <c r="Q495" s="45"/>
      <c r="R495" s="45"/>
      <c r="S495" s="45"/>
      <c r="T495" s="45"/>
      <c r="U495" s="45"/>
      <c r="V495" s="45"/>
      <c r="W495" s="45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41" t="s">
        <v>28</v>
      </c>
      <c r="B496" s="41" t="s">
        <v>33</v>
      </c>
      <c r="C496" s="41" t="s">
        <v>23</v>
      </c>
      <c r="D496" s="41" t="s">
        <v>34</v>
      </c>
      <c r="E496" s="41" t="s">
        <v>25</v>
      </c>
      <c r="F496" s="41" t="s">
        <v>25</v>
      </c>
      <c r="G496" s="41" t="s">
        <v>25</v>
      </c>
      <c r="H496" s="41" t="s">
        <v>25</v>
      </c>
      <c r="I496" s="61">
        <v>44713</v>
      </c>
      <c r="J496" s="62">
        <f>EFEITO!$J$496*EFEITO!$Y$496</f>
        <v>0</v>
      </c>
      <c r="K496" s="62">
        <f ca="1">EFEITO!$L$496*EFEITO!$Z$496</f>
        <v>7008.1865209103717</v>
      </c>
      <c r="L496" s="62">
        <f>EFEITO!$N$496*EFEITO!$AA$496</f>
        <v>1622.2574305081882</v>
      </c>
      <c r="M496" s="62">
        <f>$J$496-EFEITO!$K$496*EFEITO!$Y$496</f>
        <v>0</v>
      </c>
      <c r="N496" s="62">
        <f ca="1">$K$496-EFEITO!$M$496*EFEITO!$Z$496</f>
        <v>0</v>
      </c>
      <c r="O496" s="62">
        <f>$L$496-EFEITO!$O$496*EFEITO!$AA$496</f>
        <v>0</v>
      </c>
      <c r="P496" s="45"/>
      <c r="Q496" s="45"/>
      <c r="R496" s="45"/>
      <c r="S496" s="45"/>
      <c r="T496" s="45"/>
      <c r="U496" s="45"/>
      <c r="V496" s="45"/>
      <c r="W496" s="45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41" t="s">
        <v>21</v>
      </c>
      <c r="B497" s="41" t="s">
        <v>33</v>
      </c>
      <c r="C497" s="41" t="s">
        <v>23</v>
      </c>
      <c r="D497" s="41" t="s">
        <v>34</v>
      </c>
      <c r="E497" s="41" t="s">
        <v>25</v>
      </c>
      <c r="F497" s="41" t="s">
        <v>25</v>
      </c>
      <c r="G497" s="41" t="s">
        <v>25</v>
      </c>
      <c r="H497" s="41" t="s">
        <v>25</v>
      </c>
      <c r="I497" s="61">
        <v>44743</v>
      </c>
      <c r="J497" s="62">
        <f>EFEITO!$J$497*EFEITO!$Y$497</f>
        <v>0</v>
      </c>
      <c r="K497" s="62">
        <f ca="1">EFEITO!$L$497*EFEITO!$Z$497</f>
        <v>208537.51984901281</v>
      </c>
      <c r="L497" s="62">
        <f>EFEITO!$N$497*EFEITO!$AA$497</f>
        <v>48272.336945573195</v>
      </c>
      <c r="M497" s="62">
        <f>$J$497-EFEITO!$K$497*EFEITO!$Y$497</f>
        <v>0</v>
      </c>
      <c r="N497" s="62">
        <f ca="1">$K$497-EFEITO!$M$497*EFEITO!$Z$497</f>
        <v>0</v>
      </c>
      <c r="O497" s="62">
        <f>$L$497-EFEITO!$O$497*EFEITO!$AA$497</f>
        <v>0</v>
      </c>
      <c r="P497" s="45"/>
      <c r="Q497" s="45"/>
      <c r="R497" s="45"/>
      <c r="S497" s="45"/>
      <c r="T497" s="45"/>
      <c r="U497" s="45"/>
      <c r="V497" s="45"/>
      <c r="W497" s="45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41" t="s">
        <v>28</v>
      </c>
      <c r="B498" s="41" t="s">
        <v>33</v>
      </c>
      <c r="C498" s="41" t="s">
        <v>23</v>
      </c>
      <c r="D498" s="41" t="s">
        <v>34</v>
      </c>
      <c r="E498" s="41" t="s">
        <v>25</v>
      </c>
      <c r="F498" s="41" t="s">
        <v>25</v>
      </c>
      <c r="G498" s="41" t="s">
        <v>25</v>
      </c>
      <c r="H498" s="41" t="s">
        <v>25</v>
      </c>
      <c r="I498" s="61">
        <v>44743</v>
      </c>
      <c r="J498" s="62">
        <f>EFEITO!$J$498*EFEITO!$Y$498</f>
        <v>0</v>
      </c>
      <c r="K498" s="62">
        <f ca="1">EFEITO!$L$498*EFEITO!$Z$498</f>
        <v>8942.3137930194571</v>
      </c>
      <c r="L498" s="62">
        <f>EFEITO!$N$498*EFEITO!$AA$498</f>
        <v>2069.9698778532556</v>
      </c>
      <c r="M498" s="62">
        <f>$J$498-EFEITO!$K$498*EFEITO!$Y$498</f>
        <v>0</v>
      </c>
      <c r="N498" s="62">
        <f ca="1">$K$498-EFEITO!$M$498*EFEITO!$Z$498</f>
        <v>0</v>
      </c>
      <c r="O498" s="62">
        <f>$L$498-EFEITO!$O$498*EFEITO!$AA$498</f>
        <v>0</v>
      </c>
      <c r="P498" s="45"/>
      <c r="Q498" s="45"/>
      <c r="R498" s="45"/>
      <c r="S498" s="45"/>
      <c r="T498" s="45"/>
      <c r="U498" s="45"/>
      <c r="V498" s="45"/>
      <c r="W498" s="45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41" t="s">
        <v>55</v>
      </c>
      <c r="B499" s="41" t="s">
        <v>33</v>
      </c>
      <c r="C499" s="41" t="s">
        <v>23</v>
      </c>
      <c r="D499" s="41" t="s">
        <v>34</v>
      </c>
      <c r="E499" s="41" t="s">
        <v>25</v>
      </c>
      <c r="F499" s="41" t="s">
        <v>25</v>
      </c>
      <c r="G499" s="41" t="s">
        <v>25</v>
      </c>
      <c r="H499" s="41" t="s">
        <v>25</v>
      </c>
      <c r="I499" s="61">
        <v>44774</v>
      </c>
      <c r="J499" s="62">
        <f>EFEITO!$J$499*EFEITO!$Y$499</f>
        <v>0</v>
      </c>
      <c r="K499" s="62">
        <f ca="1">EFEITO!$L$499*EFEITO!$Z$499</f>
        <v>208537.51984901281</v>
      </c>
      <c r="L499" s="62">
        <f>EFEITO!$N$499*EFEITO!$AA$499</f>
        <v>48272.336945573195</v>
      </c>
      <c r="M499" s="62">
        <f>$J$499-EFEITO!$K$499*EFEITO!$Y$499</f>
        <v>0</v>
      </c>
      <c r="N499" s="62">
        <f ca="1">$K$499-EFEITO!$M$499*EFEITO!$Z$499</f>
        <v>0</v>
      </c>
      <c r="O499" s="62">
        <f>$L$499-EFEITO!$O$499*EFEITO!$AA$499</f>
        <v>0</v>
      </c>
      <c r="P499" s="45"/>
      <c r="Q499" s="45"/>
      <c r="R499" s="45"/>
      <c r="S499" s="45"/>
      <c r="T499" s="45"/>
      <c r="U499" s="45"/>
      <c r="V499" s="45"/>
      <c r="W499" s="45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41" t="s">
        <v>55</v>
      </c>
      <c r="B500" s="41" t="s">
        <v>33</v>
      </c>
      <c r="C500" s="41" t="s">
        <v>23</v>
      </c>
      <c r="D500" s="41" t="s">
        <v>34</v>
      </c>
      <c r="E500" s="41" t="s">
        <v>25</v>
      </c>
      <c r="F500" s="41" t="s">
        <v>25</v>
      </c>
      <c r="G500" s="41" t="s">
        <v>25</v>
      </c>
      <c r="H500" s="41" t="s">
        <v>25</v>
      </c>
      <c r="I500" s="61">
        <v>44774</v>
      </c>
      <c r="J500" s="62">
        <f>EFEITO!$J$500*EFEITO!$Y$500</f>
        <v>0</v>
      </c>
      <c r="K500" s="62">
        <f ca="1">EFEITO!$L$500*EFEITO!$Z$500</f>
        <v>8942.3137930194571</v>
      </c>
      <c r="L500" s="62">
        <f>EFEITO!$N$500*EFEITO!$AA$500</f>
        <v>2069.9698778532556</v>
      </c>
      <c r="M500" s="62">
        <f>$J$500-EFEITO!$K$500*EFEITO!$Y$500</f>
        <v>0</v>
      </c>
      <c r="N500" s="62">
        <f ca="1">$K$500-EFEITO!$M$500*EFEITO!$Z$500</f>
        <v>0</v>
      </c>
      <c r="O500" s="62">
        <f>$L$500-EFEITO!$O$500*EFEITO!$AA$500</f>
        <v>0</v>
      </c>
      <c r="P500" s="45"/>
      <c r="Q500" s="45"/>
      <c r="R500" s="45"/>
      <c r="S500" s="45"/>
      <c r="T500" s="45"/>
      <c r="U500" s="45"/>
      <c r="V500" s="45"/>
      <c r="W500" s="45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41" t="s">
        <v>21</v>
      </c>
      <c r="B501" s="41" t="s">
        <v>33</v>
      </c>
      <c r="C501" s="41" t="s">
        <v>23</v>
      </c>
      <c r="D501" s="41" t="s">
        <v>45</v>
      </c>
      <c r="E501" s="41" t="s">
        <v>25</v>
      </c>
      <c r="F501" s="41" t="s">
        <v>25</v>
      </c>
      <c r="G501" s="41" t="s">
        <v>25</v>
      </c>
      <c r="H501" s="41" t="s">
        <v>25</v>
      </c>
      <c r="I501" s="61">
        <v>44440</v>
      </c>
      <c r="J501" s="62">
        <f>EFEITO!$J$501*EFEITO!$Y$501</f>
        <v>0</v>
      </c>
      <c r="K501" s="62">
        <f ca="1">EFEITO!$L$501*EFEITO!$Z$501</f>
        <v>39141.140770356498</v>
      </c>
      <c r="L501" s="62">
        <f>EFEITO!$N$501*EFEITO!$AA$501</f>
        <v>9060.4047514747763</v>
      </c>
      <c r="M501" s="62">
        <f>$J$501-EFEITO!$K$501*EFEITO!$Y$501</f>
        <v>0</v>
      </c>
      <c r="N501" s="62">
        <f ca="1">$K$501-EFEITO!$M$501*EFEITO!$Z$501</f>
        <v>0</v>
      </c>
      <c r="O501" s="62">
        <f>$L$501-EFEITO!$O$501*EFEITO!$AA$501</f>
        <v>0</v>
      </c>
      <c r="P501" s="45"/>
      <c r="Q501" s="45"/>
      <c r="R501" s="45"/>
      <c r="S501" s="45"/>
      <c r="T501" s="45"/>
      <c r="U501" s="45"/>
      <c r="V501" s="45"/>
      <c r="W501" s="45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41" t="s">
        <v>28</v>
      </c>
      <c r="B502" s="41" t="s">
        <v>33</v>
      </c>
      <c r="C502" s="41" t="s">
        <v>23</v>
      </c>
      <c r="D502" s="41" t="s">
        <v>45</v>
      </c>
      <c r="E502" s="41" t="s">
        <v>25</v>
      </c>
      <c r="F502" s="41" t="s">
        <v>25</v>
      </c>
      <c r="G502" s="41" t="s">
        <v>25</v>
      </c>
      <c r="H502" s="41" t="s">
        <v>25</v>
      </c>
      <c r="I502" s="61">
        <v>44440</v>
      </c>
      <c r="J502" s="62">
        <f>EFEITO!$J$502*EFEITO!$Y$502</f>
        <v>0</v>
      </c>
      <c r="K502" s="62">
        <f ca="1">EFEITO!$L$502*EFEITO!$Z$502</f>
        <v>914.23959246169488</v>
      </c>
      <c r="L502" s="62">
        <f>EFEITO!$N$502*EFEITO!$AA$502</f>
        <v>211.62849586130901</v>
      </c>
      <c r="M502" s="62">
        <f>$J$502-EFEITO!$K$502*EFEITO!$Y$502</f>
        <v>0</v>
      </c>
      <c r="N502" s="62">
        <f ca="1">$K$502-EFEITO!$M$502*EFEITO!$Z$502</f>
        <v>0</v>
      </c>
      <c r="O502" s="62">
        <f>$L$502-EFEITO!$O$502*EFEITO!$AA$502</f>
        <v>0</v>
      </c>
      <c r="P502" s="45"/>
      <c r="Q502" s="45"/>
      <c r="R502" s="45"/>
      <c r="S502" s="45"/>
      <c r="T502" s="45"/>
      <c r="U502" s="45"/>
      <c r="V502" s="45"/>
      <c r="W502" s="45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41" t="s">
        <v>21</v>
      </c>
      <c r="B503" s="41" t="s">
        <v>33</v>
      </c>
      <c r="C503" s="41" t="s">
        <v>23</v>
      </c>
      <c r="D503" s="41" t="s">
        <v>45</v>
      </c>
      <c r="E503" s="41" t="s">
        <v>25</v>
      </c>
      <c r="F503" s="41" t="s">
        <v>25</v>
      </c>
      <c r="G503" s="41" t="s">
        <v>25</v>
      </c>
      <c r="H503" s="41" t="s">
        <v>25</v>
      </c>
      <c r="I503" s="61">
        <v>44470</v>
      </c>
      <c r="J503" s="62">
        <f>EFEITO!$J$503*EFEITO!$Y$503</f>
        <v>0</v>
      </c>
      <c r="K503" s="62">
        <f ca="1">EFEITO!$L$503*EFEITO!$Z$503</f>
        <v>39143.501621466799</v>
      </c>
      <c r="L503" s="62">
        <f>EFEITO!$N$503*EFEITO!$AA$503</f>
        <v>9060.9512421032123</v>
      </c>
      <c r="M503" s="62">
        <f>$J$503-EFEITO!$K$503*EFEITO!$Y$503</f>
        <v>0</v>
      </c>
      <c r="N503" s="62">
        <f ca="1">$K$503-EFEITO!$M$503*EFEITO!$Z$503</f>
        <v>0</v>
      </c>
      <c r="O503" s="62">
        <f>$L$503-EFEITO!$O$503*EFEITO!$AA$503</f>
        <v>0</v>
      </c>
      <c r="P503" s="45"/>
      <c r="Q503" s="45"/>
      <c r="R503" s="45"/>
      <c r="S503" s="45"/>
      <c r="T503" s="45"/>
      <c r="U503" s="45"/>
      <c r="V503" s="45"/>
      <c r="W503" s="45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41" t="s">
        <v>28</v>
      </c>
      <c r="B504" s="41" t="s">
        <v>33</v>
      </c>
      <c r="C504" s="41" t="s">
        <v>23</v>
      </c>
      <c r="D504" s="41" t="s">
        <v>45</v>
      </c>
      <c r="E504" s="41" t="s">
        <v>25</v>
      </c>
      <c r="F504" s="41" t="s">
        <v>25</v>
      </c>
      <c r="G504" s="41" t="s">
        <v>25</v>
      </c>
      <c r="H504" s="41" t="s">
        <v>25</v>
      </c>
      <c r="I504" s="61">
        <v>44470</v>
      </c>
      <c r="J504" s="62">
        <f>EFEITO!$J$504*EFEITO!$Y$504</f>
        <v>0</v>
      </c>
      <c r="K504" s="62">
        <f ca="1">EFEITO!$L$504*EFEITO!$Z$504</f>
        <v>941.9795930076599</v>
      </c>
      <c r="L504" s="62">
        <f>EFEITO!$N$504*EFEITO!$AA$504</f>
        <v>218.04976074541588</v>
      </c>
      <c r="M504" s="62">
        <f>$J$504-EFEITO!$K$504*EFEITO!$Y$504</f>
        <v>0</v>
      </c>
      <c r="N504" s="62">
        <f ca="1">$K$504-EFEITO!$M$504*EFEITO!$Z$504</f>
        <v>0</v>
      </c>
      <c r="O504" s="62">
        <f>$L$504-EFEITO!$O$504*EFEITO!$AA$504</f>
        <v>0</v>
      </c>
      <c r="P504" s="45"/>
      <c r="Q504" s="45"/>
      <c r="R504" s="45"/>
      <c r="S504" s="45"/>
      <c r="T504" s="45"/>
      <c r="U504" s="45"/>
      <c r="V504" s="45"/>
      <c r="W504" s="45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41" t="s">
        <v>21</v>
      </c>
      <c r="B505" s="41" t="s">
        <v>33</v>
      </c>
      <c r="C505" s="41" t="s">
        <v>23</v>
      </c>
      <c r="D505" s="41" t="s">
        <v>45</v>
      </c>
      <c r="E505" s="41" t="s">
        <v>25</v>
      </c>
      <c r="F505" s="41" t="s">
        <v>25</v>
      </c>
      <c r="G505" s="41" t="s">
        <v>25</v>
      </c>
      <c r="H505" s="41" t="s">
        <v>25</v>
      </c>
      <c r="I505" s="61">
        <v>44501</v>
      </c>
      <c r="J505" s="62">
        <f>EFEITO!$J$505*EFEITO!$Y$505</f>
        <v>0</v>
      </c>
      <c r="K505" s="62">
        <f ca="1">EFEITO!$L$505*EFEITO!$Z$505</f>
        <v>45520.160470373288</v>
      </c>
      <c r="L505" s="62">
        <f>EFEITO!$N$505*EFEITO!$AA$505</f>
        <v>10537.022429505138</v>
      </c>
      <c r="M505" s="62">
        <f>$J$505-EFEITO!$K$505*EFEITO!$Y$505</f>
        <v>0</v>
      </c>
      <c r="N505" s="62">
        <f ca="1">$K$505-EFEITO!$M$505*EFEITO!$Z$505</f>
        <v>0</v>
      </c>
      <c r="O505" s="62">
        <f>$L$505-EFEITO!$O$505*EFEITO!$AA$505</f>
        <v>0</v>
      </c>
      <c r="P505" s="45"/>
      <c r="Q505" s="45"/>
      <c r="R505" s="45"/>
      <c r="S505" s="45"/>
      <c r="T505" s="45"/>
      <c r="U505" s="45"/>
      <c r="V505" s="45"/>
      <c r="W505" s="45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41" t="s">
        <v>28</v>
      </c>
      <c r="B506" s="41" t="s">
        <v>33</v>
      </c>
      <c r="C506" s="41" t="s">
        <v>23</v>
      </c>
      <c r="D506" s="41" t="s">
        <v>45</v>
      </c>
      <c r="E506" s="41" t="s">
        <v>25</v>
      </c>
      <c r="F506" s="41" t="s">
        <v>25</v>
      </c>
      <c r="G506" s="41" t="s">
        <v>25</v>
      </c>
      <c r="H506" s="41" t="s">
        <v>25</v>
      </c>
      <c r="I506" s="61">
        <v>44501</v>
      </c>
      <c r="J506" s="62">
        <f>EFEITO!$J$506*EFEITO!$Y$506</f>
        <v>0</v>
      </c>
      <c r="K506" s="62">
        <f ca="1">EFEITO!$L$506*EFEITO!$Z$506</f>
        <v>930.76555023375909</v>
      </c>
      <c r="L506" s="62">
        <f>EFEITO!$N$506*EFEITO!$AA$506</f>
        <v>215.4539302603514</v>
      </c>
      <c r="M506" s="62">
        <f>$J$506-EFEITO!$K$506*EFEITO!$Y$506</f>
        <v>0</v>
      </c>
      <c r="N506" s="62">
        <f ca="1">$K$506-EFEITO!$M$506*EFEITO!$Z$506</f>
        <v>0</v>
      </c>
      <c r="O506" s="62">
        <f>$L$506-EFEITO!$O$506*EFEITO!$AA$506</f>
        <v>0</v>
      </c>
      <c r="P506" s="45"/>
      <c r="Q506" s="45"/>
      <c r="R506" s="45"/>
      <c r="S506" s="45"/>
      <c r="T506" s="45"/>
      <c r="U506" s="45"/>
      <c r="V506" s="45"/>
      <c r="W506" s="45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41" t="s">
        <v>21</v>
      </c>
      <c r="B507" s="41" t="s">
        <v>33</v>
      </c>
      <c r="C507" s="41" t="s">
        <v>23</v>
      </c>
      <c r="D507" s="41" t="s">
        <v>45</v>
      </c>
      <c r="E507" s="41" t="s">
        <v>25</v>
      </c>
      <c r="F507" s="41" t="s">
        <v>25</v>
      </c>
      <c r="G507" s="41" t="s">
        <v>25</v>
      </c>
      <c r="H507" s="41" t="s">
        <v>25</v>
      </c>
      <c r="I507" s="61">
        <v>44531</v>
      </c>
      <c r="J507" s="62">
        <f>EFEITO!$J$507*EFEITO!$Y$507</f>
        <v>0</v>
      </c>
      <c r="K507" s="62">
        <f ca="1">EFEITO!$L$507*EFEITO!$Z$507</f>
        <v>48434.631166032326</v>
      </c>
      <c r="L507" s="62">
        <f>EFEITO!$N$507*EFEITO!$AA$507</f>
        <v>11211.665110307684</v>
      </c>
      <c r="M507" s="62">
        <f>$J$507-EFEITO!$K$507*EFEITO!$Y$507</f>
        <v>0</v>
      </c>
      <c r="N507" s="62">
        <f ca="1">$K$507-EFEITO!$M$507*EFEITO!$Z$507</f>
        <v>0</v>
      </c>
      <c r="O507" s="62">
        <f>$L$507-EFEITO!$O$507*EFEITO!$AA$507</f>
        <v>0</v>
      </c>
      <c r="P507" s="45"/>
      <c r="Q507" s="45"/>
      <c r="R507" s="45"/>
      <c r="S507" s="45"/>
      <c r="T507" s="45"/>
      <c r="U507" s="45"/>
      <c r="V507" s="45"/>
      <c r="W507" s="45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41" t="s">
        <v>28</v>
      </c>
      <c r="B508" s="41" t="s">
        <v>33</v>
      </c>
      <c r="C508" s="41" t="s">
        <v>23</v>
      </c>
      <c r="D508" s="41" t="s">
        <v>45</v>
      </c>
      <c r="E508" s="41" t="s">
        <v>25</v>
      </c>
      <c r="F508" s="41" t="s">
        <v>25</v>
      </c>
      <c r="G508" s="41" t="s">
        <v>25</v>
      </c>
      <c r="H508" s="41" t="s">
        <v>25</v>
      </c>
      <c r="I508" s="61">
        <v>44531</v>
      </c>
      <c r="J508" s="62">
        <f>EFEITO!$J$508*EFEITO!$Y$508</f>
        <v>0</v>
      </c>
      <c r="K508" s="62">
        <f ca="1">EFEITO!$L$508*EFEITO!$Z$508</f>
        <v>1152.6855546014785</v>
      </c>
      <c r="L508" s="62">
        <f>EFEITO!$N$508*EFEITO!$AA$508</f>
        <v>266.82404933320629</v>
      </c>
      <c r="M508" s="62">
        <f>$J$508-EFEITO!$K$508*EFEITO!$Y$508</f>
        <v>0</v>
      </c>
      <c r="N508" s="62">
        <f ca="1">$K$508-EFEITO!$M$508*EFEITO!$Z$508</f>
        <v>0</v>
      </c>
      <c r="O508" s="62">
        <f>$L$508-EFEITO!$O$508*EFEITO!$AA$508</f>
        <v>0</v>
      </c>
      <c r="P508" s="45"/>
      <c r="Q508" s="45"/>
      <c r="R508" s="45"/>
      <c r="S508" s="45"/>
      <c r="T508" s="45"/>
      <c r="U508" s="45"/>
      <c r="V508" s="45"/>
      <c r="W508" s="45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41" t="s">
        <v>21</v>
      </c>
      <c r="B509" s="41" t="s">
        <v>33</v>
      </c>
      <c r="C509" s="41" t="s">
        <v>23</v>
      </c>
      <c r="D509" s="41" t="s">
        <v>45</v>
      </c>
      <c r="E509" s="41" t="s">
        <v>25</v>
      </c>
      <c r="F509" s="41" t="s">
        <v>25</v>
      </c>
      <c r="G509" s="41" t="s">
        <v>25</v>
      </c>
      <c r="H509" s="41" t="s">
        <v>25</v>
      </c>
      <c r="I509" s="61">
        <v>44562</v>
      </c>
      <c r="J509" s="62">
        <f>EFEITO!$J$509*EFEITO!$Y$509</f>
        <v>0</v>
      </c>
      <c r="K509" s="62">
        <f ca="1">EFEITO!$L$509*EFEITO!$Z$509</f>
        <v>42810.493608532335</v>
      </c>
      <c r="L509" s="62">
        <f>EFEITO!$N$509*EFEITO!$AA$509</f>
        <v>9909.7878107192955</v>
      </c>
      <c r="M509" s="62">
        <f>$J$509-EFEITO!$K$509*EFEITO!$Y$509</f>
        <v>0</v>
      </c>
      <c r="N509" s="62">
        <f ca="1">$K$509-EFEITO!$M$509*EFEITO!$Z$509</f>
        <v>0</v>
      </c>
      <c r="O509" s="62">
        <f>$L$509-EFEITO!$O$509*EFEITO!$AA$509</f>
        <v>0</v>
      </c>
      <c r="P509" s="45"/>
      <c r="Q509" s="45"/>
      <c r="R509" s="45"/>
      <c r="S509" s="45"/>
      <c r="T509" s="45"/>
      <c r="U509" s="45"/>
      <c r="V509" s="45"/>
      <c r="W509" s="45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41" t="s">
        <v>28</v>
      </c>
      <c r="B510" s="41" t="s">
        <v>33</v>
      </c>
      <c r="C510" s="41" t="s">
        <v>23</v>
      </c>
      <c r="D510" s="41" t="s">
        <v>45</v>
      </c>
      <c r="E510" s="41" t="s">
        <v>25</v>
      </c>
      <c r="F510" s="41" t="s">
        <v>25</v>
      </c>
      <c r="G510" s="41" t="s">
        <v>25</v>
      </c>
      <c r="H510" s="41" t="s">
        <v>25</v>
      </c>
      <c r="I510" s="61">
        <v>44562</v>
      </c>
      <c r="J510" s="62">
        <f>EFEITO!$J$510*EFEITO!$Y$510</f>
        <v>0</v>
      </c>
      <c r="K510" s="62">
        <f ca="1">EFEITO!$L$510*EFEITO!$Z$510</f>
        <v>118.04255551474435</v>
      </c>
      <c r="L510" s="62">
        <f>EFEITO!$N$510*EFEITO!$AA$510</f>
        <v>27.324531421731315</v>
      </c>
      <c r="M510" s="62">
        <f>$J$510-EFEITO!$K$510*EFEITO!$Y$510</f>
        <v>0</v>
      </c>
      <c r="N510" s="62">
        <f ca="1">$K$510-EFEITO!$M$510*EFEITO!$Z$510</f>
        <v>0</v>
      </c>
      <c r="O510" s="62">
        <f>$L$510-EFEITO!$O$510*EFEITO!$AA$510</f>
        <v>0</v>
      </c>
      <c r="P510" s="45"/>
      <c r="Q510" s="45"/>
      <c r="R510" s="45"/>
      <c r="S510" s="45"/>
      <c r="T510" s="45"/>
      <c r="U510" s="45"/>
      <c r="V510" s="45"/>
      <c r="W510" s="45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41" t="s">
        <v>21</v>
      </c>
      <c r="B511" s="41" t="s">
        <v>33</v>
      </c>
      <c r="C511" s="41" t="s">
        <v>23</v>
      </c>
      <c r="D511" s="41" t="s">
        <v>45</v>
      </c>
      <c r="E511" s="41" t="s">
        <v>25</v>
      </c>
      <c r="F511" s="41" t="s">
        <v>25</v>
      </c>
      <c r="G511" s="41" t="s">
        <v>25</v>
      </c>
      <c r="H511" s="41" t="s">
        <v>25</v>
      </c>
      <c r="I511" s="61">
        <v>44593</v>
      </c>
      <c r="J511" s="62">
        <f>EFEITO!$J$511*EFEITO!$Y$511</f>
        <v>0</v>
      </c>
      <c r="K511" s="62">
        <f ca="1">EFEITO!$L$511*EFEITO!$Z$511</f>
        <v>58658.887111941905</v>
      </c>
      <c r="L511" s="62">
        <f>EFEITO!$N$511*EFEITO!$AA$511</f>
        <v>13578.379399400941</v>
      </c>
      <c r="M511" s="62">
        <f>$J$511-EFEITO!$K$511*EFEITO!$Y$511</f>
        <v>0</v>
      </c>
      <c r="N511" s="62">
        <f ca="1">$K$511-EFEITO!$M$511*EFEITO!$Z$511</f>
        <v>0</v>
      </c>
      <c r="O511" s="62">
        <f>$L$511-EFEITO!$O$511*EFEITO!$AA$511</f>
        <v>0</v>
      </c>
      <c r="P511" s="45"/>
      <c r="Q511" s="45"/>
      <c r="R511" s="45"/>
      <c r="S511" s="45"/>
      <c r="T511" s="45"/>
      <c r="U511" s="45"/>
      <c r="V511" s="45"/>
      <c r="W511" s="45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41" t="s">
        <v>28</v>
      </c>
      <c r="B512" s="41" t="s">
        <v>33</v>
      </c>
      <c r="C512" s="41" t="s">
        <v>23</v>
      </c>
      <c r="D512" s="41" t="s">
        <v>45</v>
      </c>
      <c r="E512" s="41" t="s">
        <v>25</v>
      </c>
      <c r="F512" s="41" t="s">
        <v>25</v>
      </c>
      <c r="G512" s="41" t="s">
        <v>25</v>
      </c>
      <c r="H512" s="41" t="s">
        <v>25</v>
      </c>
      <c r="I512" s="61">
        <v>44593</v>
      </c>
      <c r="J512" s="62">
        <f>EFEITO!$J$512*EFEITO!$Y$512</f>
        <v>0</v>
      </c>
      <c r="K512" s="62">
        <f ca="1">EFEITO!$L$512*EFEITO!$Z$512</f>
        <v>442.0693704027176</v>
      </c>
      <c r="L512" s="62">
        <f>EFEITO!$N$512*EFEITO!$AA$512</f>
        <v>102.33037017438377</v>
      </c>
      <c r="M512" s="62">
        <f>$J$512-EFEITO!$K$512*EFEITO!$Y$512</f>
        <v>0</v>
      </c>
      <c r="N512" s="62">
        <f ca="1">$K$512-EFEITO!$M$512*EFEITO!$Z$512</f>
        <v>0</v>
      </c>
      <c r="O512" s="62">
        <f>$L$512-EFEITO!$O$512*EFEITO!$AA$512</f>
        <v>0</v>
      </c>
      <c r="P512" s="45"/>
      <c r="Q512" s="45"/>
      <c r="R512" s="45"/>
      <c r="S512" s="45"/>
      <c r="T512" s="45"/>
      <c r="U512" s="45"/>
      <c r="V512" s="45"/>
      <c r="W512" s="45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41" t="s">
        <v>21</v>
      </c>
      <c r="B513" s="41" t="s">
        <v>33</v>
      </c>
      <c r="C513" s="41" t="s">
        <v>23</v>
      </c>
      <c r="D513" s="41" t="s">
        <v>45</v>
      </c>
      <c r="E513" s="41" t="s">
        <v>25</v>
      </c>
      <c r="F513" s="41" t="s">
        <v>25</v>
      </c>
      <c r="G513" s="41" t="s">
        <v>25</v>
      </c>
      <c r="H513" s="41" t="s">
        <v>25</v>
      </c>
      <c r="I513" s="61">
        <v>44621</v>
      </c>
      <c r="J513" s="62">
        <f>EFEITO!$J$513*EFEITO!$Y$513</f>
        <v>0</v>
      </c>
      <c r="K513" s="62">
        <f ca="1">EFEITO!$L$513*EFEITO!$Z$513</f>
        <v>68225.646023634356</v>
      </c>
      <c r="L513" s="62">
        <f>EFEITO!$N$513*EFEITO!$AA$513</f>
        <v>15792.896048475155</v>
      </c>
      <c r="M513" s="62">
        <f>$J$513-EFEITO!$K$513*EFEITO!$Y$513</f>
        <v>0</v>
      </c>
      <c r="N513" s="62">
        <f ca="1">$K$513-EFEITO!$M$513*EFEITO!$Z$513</f>
        <v>0</v>
      </c>
      <c r="O513" s="62">
        <f>$L$513-EFEITO!$O$513*EFEITO!$AA$513</f>
        <v>0</v>
      </c>
      <c r="P513" s="45"/>
      <c r="Q513" s="45"/>
      <c r="R513" s="45"/>
      <c r="S513" s="45"/>
      <c r="T513" s="45"/>
      <c r="U513" s="45"/>
      <c r="V513" s="45"/>
      <c r="W513" s="45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41" t="s">
        <v>28</v>
      </c>
      <c r="B514" s="41" t="s">
        <v>33</v>
      </c>
      <c r="C514" s="41" t="s">
        <v>23</v>
      </c>
      <c r="D514" s="41" t="s">
        <v>45</v>
      </c>
      <c r="E514" s="41" t="s">
        <v>25</v>
      </c>
      <c r="F514" s="41" t="s">
        <v>25</v>
      </c>
      <c r="G514" s="41" t="s">
        <v>25</v>
      </c>
      <c r="H514" s="41" t="s">
        <v>25</v>
      </c>
      <c r="I514" s="61">
        <v>44621</v>
      </c>
      <c r="J514" s="62">
        <f>EFEITO!$J$514*EFEITO!$Y$514</f>
        <v>0</v>
      </c>
      <c r="K514" s="62">
        <f ca="1">EFEITO!$L$514*EFEITO!$Z$514</f>
        <v>1982.5247198701313</v>
      </c>
      <c r="L514" s="62">
        <f>EFEITO!$N$514*EFEITO!$AA$514</f>
        <v>458.91550522797741</v>
      </c>
      <c r="M514" s="62">
        <f>$J$514-EFEITO!$K$514*EFEITO!$Y$514</f>
        <v>0</v>
      </c>
      <c r="N514" s="62">
        <f ca="1">$K$514-EFEITO!$M$514*EFEITO!$Z$514</f>
        <v>0</v>
      </c>
      <c r="O514" s="62">
        <f>$L$514-EFEITO!$O$514*EFEITO!$AA$514</f>
        <v>0</v>
      </c>
      <c r="P514" s="45"/>
      <c r="Q514" s="45"/>
      <c r="R514" s="45"/>
      <c r="S514" s="45"/>
      <c r="T514" s="45"/>
      <c r="U514" s="45"/>
      <c r="V514" s="45"/>
      <c r="W514" s="45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41" t="s">
        <v>21</v>
      </c>
      <c r="B515" s="41" t="s">
        <v>33</v>
      </c>
      <c r="C515" s="41" t="s">
        <v>23</v>
      </c>
      <c r="D515" s="41" t="s">
        <v>45</v>
      </c>
      <c r="E515" s="41" t="s">
        <v>25</v>
      </c>
      <c r="F515" s="41" t="s">
        <v>25</v>
      </c>
      <c r="G515" s="41" t="s">
        <v>25</v>
      </c>
      <c r="H515" s="41" t="s">
        <v>25</v>
      </c>
      <c r="I515" s="61">
        <v>44652</v>
      </c>
      <c r="J515" s="62">
        <f>EFEITO!$J$515*EFEITO!$Y$515</f>
        <v>0</v>
      </c>
      <c r="K515" s="62">
        <f ca="1">EFEITO!$L$515*EFEITO!$Z$515</f>
        <v>48043.320094500952</v>
      </c>
      <c r="L515" s="62">
        <f>EFEITO!$N$515*EFEITO!$AA$515</f>
        <v>11121.084288644646</v>
      </c>
      <c r="M515" s="62">
        <f>$J$515-EFEITO!$K$515*EFEITO!$Y$515</f>
        <v>0</v>
      </c>
      <c r="N515" s="62">
        <f ca="1">$K$515-EFEITO!$M$515*EFEITO!$Z$515</f>
        <v>0</v>
      </c>
      <c r="O515" s="62">
        <f>$L$515-EFEITO!$O$515*EFEITO!$AA$515</f>
        <v>0</v>
      </c>
      <c r="P515" s="45"/>
      <c r="Q515" s="45"/>
      <c r="R515" s="45"/>
      <c r="S515" s="45"/>
      <c r="T515" s="45"/>
      <c r="U515" s="45"/>
      <c r="V515" s="45"/>
      <c r="W515" s="45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41" t="s">
        <v>28</v>
      </c>
      <c r="B516" s="41" t="s">
        <v>33</v>
      </c>
      <c r="C516" s="41" t="s">
        <v>23</v>
      </c>
      <c r="D516" s="41" t="s">
        <v>45</v>
      </c>
      <c r="E516" s="41" t="s">
        <v>25</v>
      </c>
      <c r="F516" s="41" t="s">
        <v>25</v>
      </c>
      <c r="G516" s="41" t="s">
        <v>25</v>
      </c>
      <c r="H516" s="41" t="s">
        <v>25</v>
      </c>
      <c r="I516" s="61">
        <v>44652</v>
      </c>
      <c r="J516" s="62">
        <f>EFEITO!$J$516*EFEITO!$Y$516</f>
        <v>0</v>
      </c>
      <c r="K516" s="62">
        <f ca="1">EFEITO!$L$516*EFEITO!$Z$516</f>
        <v>1575.2779033442632</v>
      </c>
      <c r="L516" s="62">
        <f>EFEITO!$N$516*EFEITO!$AA$516</f>
        <v>364.64587182300437</v>
      </c>
      <c r="M516" s="62">
        <f>$J$516-EFEITO!$K$516*EFEITO!$Y$516</f>
        <v>0</v>
      </c>
      <c r="N516" s="62">
        <f ca="1">$K$516-EFEITO!$M$516*EFEITO!$Z$516</f>
        <v>0</v>
      </c>
      <c r="O516" s="62">
        <f>$L$516-EFEITO!$O$516*EFEITO!$AA$516</f>
        <v>0</v>
      </c>
      <c r="P516" s="45"/>
      <c r="Q516" s="45"/>
      <c r="R516" s="45"/>
      <c r="S516" s="45"/>
      <c r="T516" s="45"/>
      <c r="U516" s="45"/>
      <c r="V516" s="45"/>
      <c r="W516" s="45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41" t="s">
        <v>21</v>
      </c>
      <c r="B517" s="41" t="s">
        <v>33</v>
      </c>
      <c r="C517" s="41" t="s">
        <v>23</v>
      </c>
      <c r="D517" s="41" t="s">
        <v>45</v>
      </c>
      <c r="E517" s="41" t="s">
        <v>25</v>
      </c>
      <c r="F517" s="41" t="s">
        <v>25</v>
      </c>
      <c r="G517" s="41" t="s">
        <v>25</v>
      </c>
      <c r="H517" s="41" t="s">
        <v>25</v>
      </c>
      <c r="I517" s="61">
        <v>44682</v>
      </c>
      <c r="J517" s="62">
        <f>EFEITO!$J$517*EFEITO!$Y$517</f>
        <v>0</v>
      </c>
      <c r="K517" s="62">
        <f ca="1">EFEITO!$L$517*EFEITO!$Z$517</f>
        <v>41208.065917419677</v>
      </c>
      <c r="L517" s="62">
        <f>EFEITO!$N$517*EFEITO!$AA$517</f>
        <v>9538.8572966692936</v>
      </c>
      <c r="M517" s="62">
        <f>$J$517-EFEITO!$K$517*EFEITO!$Y$517</f>
        <v>0</v>
      </c>
      <c r="N517" s="62">
        <f ca="1">$K$517-EFEITO!$M$517*EFEITO!$Z$517</f>
        <v>0</v>
      </c>
      <c r="O517" s="62">
        <f>$L$517-EFEITO!$O$517*EFEITO!$AA$517</f>
        <v>0</v>
      </c>
      <c r="P517" s="45"/>
      <c r="Q517" s="45"/>
      <c r="R517" s="45"/>
      <c r="S517" s="45"/>
      <c r="T517" s="45"/>
      <c r="U517" s="45"/>
      <c r="V517" s="45"/>
      <c r="W517" s="45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41" t="s">
        <v>28</v>
      </c>
      <c r="B518" s="41" t="s">
        <v>33</v>
      </c>
      <c r="C518" s="41" t="s">
        <v>23</v>
      </c>
      <c r="D518" s="41" t="s">
        <v>45</v>
      </c>
      <c r="E518" s="41" t="s">
        <v>25</v>
      </c>
      <c r="F518" s="41" t="s">
        <v>25</v>
      </c>
      <c r="G518" s="41" t="s">
        <v>25</v>
      </c>
      <c r="H518" s="41" t="s">
        <v>25</v>
      </c>
      <c r="I518" s="61">
        <v>44682</v>
      </c>
      <c r="J518" s="62">
        <f>EFEITO!$J$518*EFEITO!$Y$518</f>
        <v>0</v>
      </c>
      <c r="K518" s="62">
        <f ca="1">EFEITO!$L$518*EFEITO!$Z$518</f>
        <v>1056.4808718569618</v>
      </c>
      <c r="L518" s="62">
        <f>EFEITO!$N$518*EFEITO!$AA$518</f>
        <v>244.55455622449526</v>
      </c>
      <c r="M518" s="62">
        <f>$J$518-EFEITO!$K$518*EFEITO!$Y$518</f>
        <v>0</v>
      </c>
      <c r="N518" s="62">
        <f ca="1">$K$518-EFEITO!$M$518*EFEITO!$Z$518</f>
        <v>0</v>
      </c>
      <c r="O518" s="62">
        <f>$L$518-EFEITO!$O$518*EFEITO!$AA$518</f>
        <v>0</v>
      </c>
      <c r="P518" s="45"/>
      <c r="Q518" s="45"/>
      <c r="R518" s="45"/>
      <c r="S518" s="45"/>
      <c r="T518" s="45"/>
      <c r="U518" s="45"/>
      <c r="V518" s="45"/>
      <c r="W518" s="45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41" t="s">
        <v>21</v>
      </c>
      <c r="B519" s="41" t="s">
        <v>33</v>
      </c>
      <c r="C519" s="41" t="s">
        <v>23</v>
      </c>
      <c r="D519" s="41" t="s">
        <v>45</v>
      </c>
      <c r="E519" s="41" t="s">
        <v>25</v>
      </c>
      <c r="F519" s="41" t="s">
        <v>25</v>
      </c>
      <c r="G519" s="41" t="s">
        <v>25</v>
      </c>
      <c r="H519" s="41" t="s">
        <v>25</v>
      </c>
      <c r="I519" s="61">
        <v>44713</v>
      </c>
      <c r="J519" s="62">
        <f>EFEITO!$J$519*EFEITO!$Y$519</f>
        <v>0</v>
      </c>
      <c r="K519" s="62">
        <f ca="1">EFEITO!$L$519*EFEITO!$Z$519</f>
        <v>42417.41189866823</v>
      </c>
      <c r="L519" s="62">
        <f>EFEITO!$N$519*EFEITO!$AA$519</f>
        <v>9818.79712108493</v>
      </c>
      <c r="M519" s="62">
        <f>$J$519-EFEITO!$K$519*EFEITO!$Y$519</f>
        <v>0</v>
      </c>
      <c r="N519" s="62">
        <f ca="1">$K$519-EFEITO!$M$519*EFEITO!$Z$519</f>
        <v>0</v>
      </c>
      <c r="O519" s="62">
        <f>$L$519-EFEITO!$O$519*EFEITO!$AA$519</f>
        <v>0</v>
      </c>
      <c r="P519" s="45"/>
      <c r="Q519" s="45"/>
      <c r="R519" s="45"/>
      <c r="S519" s="45"/>
      <c r="T519" s="45"/>
      <c r="U519" s="45"/>
      <c r="V519" s="45"/>
      <c r="W519" s="45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41" t="s">
        <v>28</v>
      </c>
      <c r="B520" s="41" t="s">
        <v>33</v>
      </c>
      <c r="C520" s="41" t="s">
        <v>23</v>
      </c>
      <c r="D520" s="41" t="s">
        <v>45</v>
      </c>
      <c r="E520" s="41" t="s">
        <v>25</v>
      </c>
      <c r="F520" s="41" t="s">
        <v>25</v>
      </c>
      <c r="G520" s="41" t="s">
        <v>25</v>
      </c>
      <c r="H520" s="41" t="s">
        <v>25</v>
      </c>
      <c r="I520" s="61">
        <v>44713</v>
      </c>
      <c r="J520" s="62">
        <f>EFEITO!$J$520*EFEITO!$Y$520</f>
        <v>0</v>
      </c>
      <c r="K520" s="62">
        <f ca="1">EFEITO!$L$520*EFEITO!$Z$520</f>
        <v>391.31107153137754</v>
      </c>
      <c r="L520" s="62">
        <f>EFEITO!$N$520*EFEITO!$AA$520</f>
        <v>90.580821663039316</v>
      </c>
      <c r="M520" s="62">
        <f>$J$520-EFEITO!$K$520*EFEITO!$Y$520</f>
        <v>0</v>
      </c>
      <c r="N520" s="62">
        <f ca="1">$K$520-EFEITO!$M$520*EFEITO!$Z$520</f>
        <v>0</v>
      </c>
      <c r="O520" s="62">
        <f>$L$520-EFEITO!$O$520*EFEITO!$AA$520</f>
        <v>0</v>
      </c>
      <c r="P520" s="45"/>
      <c r="Q520" s="45"/>
      <c r="R520" s="45"/>
      <c r="S520" s="45"/>
      <c r="T520" s="45"/>
      <c r="U520" s="45"/>
      <c r="V520" s="45"/>
      <c r="W520" s="45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41" t="s">
        <v>21</v>
      </c>
      <c r="B521" s="41" t="s">
        <v>33</v>
      </c>
      <c r="C521" s="41" t="s">
        <v>23</v>
      </c>
      <c r="D521" s="41" t="s">
        <v>45</v>
      </c>
      <c r="E521" s="41" t="s">
        <v>25</v>
      </c>
      <c r="F521" s="41" t="s">
        <v>25</v>
      </c>
      <c r="G521" s="41" t="s">
        <v>25</v>
      </c>
      <c r="H521" s="41" t="s">
        <v>25</v>
      </c>
      <c r="I521" s="61">
        <v>44743</v>
      </c>
      <c r="J521" s="62">
        <f>EFEITO!$J$521*EFEITO!$Y$521</f>
        <v>0</v>
      </c>
      <c r="K521" s="62">
        <f ca="1">EFEITO!$L$521*EFEITO!$Z$521</f>
        <v>38673.102037740544</v>
      </c>
      <c r="L521" s="62">
        <f>EFEITO!$N$521*EFEITO!$AA$521</f>
        <v>8952.0629843876122</v>
      </c>
      <c r="M521" s="62">
        <f>$J$521-EFEITO!$K$521*EFEITO!$Y$521</f>
        <v>0</v>
      </c>
      <c r="N521" s="62">
        <f ca="1">$K$521-EFEITO!$M$521*EFEITO!$Z$521</f>
        <v>0</v>
      </c>
      <c r="O521" s="62">
        <f>$L$521-EFEITO!$O$521*EFEITO!$AA$521</f>
        <v>0</v>
      </c>
      <c r="P521" s="45"/>
      <c r="Q521" s="45"/>
      <c r="R521" s="45"/>
      <c r="S521" s="45"/>
      <c r="T521" s="45"/>
      <c r="U521" s="45"/>
      <c r="V521" s="45"/>
      <c r="W521" s="45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41" t="s">
        <v>28</v>
      </c>
      <c r="B522" s="41" t="s">
        <v>33</v>
      </c>
      <c r="C522" s="41" t="s">
        <v>23</v>
      </c>
      <c r="D522" s="41" t="s">
        <v>45</v>
      </c>
      <c r="E522" s="41" t="s">
        <v>25</v>
      </c>
      <c r="F522" s="41" t="s">
        <v>25</v>
      </c>
      <c r="G522" s="41" t="s">
        <v>25</v>
      </c>
      <c r="H522" s="41" t="s">
        <v>25</v>
      </c>
      <c r="I522" s="61">
        <v>44743</v>
      </c>
      <c r="J522" s="62">
        <f>EFEITO!$J$522*EFEITO!$Y$522</f>
        <v>0</v>
      </c>
      <c r="K522" s="62">
        <f ca="1">EFEITO!$L$522*EFEITO!$Z$522</f>
        <v>288.02383545597621</v>
      </c>
      <c r="L522" s="62">
        <f>EFEITO!$N$522*EFEITO!$AA$522</f>
        <v>66.671856669024407</v>
      </c>
      <c r="M522" s="62">
        <f>$J$522-EFEITO!$K$522*EFEITO!$Y$522</f>
        <v>0</v>
      </c>
      <c r="N522" s="62">
        <f ca="1">$K$522-EFEITO!$M$522*EFEITO!$Z$522</f>
        <v>0</v>
      </c>
      <c r="O522" s="62">
        <f>$L$522-EFEITO!$O$522*EFEITO!$AA$522</f>
        <v>0</v>
      </c>
      <c r="P522" s="45"/>
      <c r="Q522" s="45"/>
      <c r="R522" s="45"/>
      <c r="S522" s="45"/>
      <c r="T522" s="45"/>
      <c r="U522" s="45"/>
      <c r="V522" s="45"/>
      <c r="W522" s="45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41" t="s">
        <v>55</v>
      </c>
      <c r="B523" s="41" t="s">
        <v>33</v>
      </c>
      <c r="C523" s="41" t="s">
        <v>23</v>
      </c>
      <c r="D523" s="41" t="s">
        <v>45</v>
      </c>
      <c r="E523" s="41" t="s">
        <v>25</v>
      </c>
      <c r="F523" s="41" t="s">
        <v>25</v>
      </c>
      <c r="G523" s="41" t="s">
        <v>25</v>
      </c>
      <c r="H523" s="41" t="s">
        <v>25</v>
      </c>
      <c r="I523" s="61">
        <v>44774</v>
      </c>
      <c r="J523" s="62">
        <f>EFEITO!$J$523*EFEITO!$Y$523</f>
        <v>0</v>
      </c>
      <c r="K523" s="62">
        <f ca="1">EFEITO!$L$523*EFEITO!$Z$523</f>
        <v>38673.102037740544</v>
      </c>
      <c r="L523" s="62">
        <f>EFEITO!$N$523*EFEITO!$AA$523</f>
        <v>8952.0629843876122</v>
      </c>
      <c r="M523" s="62">
        <f>$J$523-EFEITO!$K$523*EFEITO!$Y$523</f>
        <v>0</v>
      </c>
      <c r="N523" s="62">
        <f ca="1">$K$523-EFEITO!$M$523*EFEITO!$Z$523</f>
        <v>0</v>
      </c>
      <c r="O523" s="62">
        <f>$L$523-EFEITO!$O$523*EFEITO!$AA$523</f>
        <v>0</v>
      </c>
      <c r="P523" s="45"/>
      <c r="Q523" s="45"/>
      <c r="R523" s="45"/>
      <c r="S523" s="45"/>
      <c r="T523" s="45"/>
      <c r="U523" s="45"/>
      <c r="V523" s="45"/>
      <c r="W523" s="45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41" t="s">
        <v>55</v>
      </c>
      <c r="B524" s="41" t="s">
        <v>33</v>
      </c>
      <c r="C524" s="41" t="s">
        <v>23</v>
      </c>
      <c r="D524" s="41" t="s">
        <v>45</v>
      </c>
      <c r="E524" s="41" t="s">
        <v>25</v>
      </c>
      <c r="F524" s="41" t="s">
        <v>25</v>
      </c>
      <c r="G524" s="41" t="s">
        <v>25</v>
      </c>
      <c r="H524" s="41" t="s">
        <v>25</v>
      </c>
      <c r="I524" s="61">
        <v>44774</v>
      </c>
      <c r="J524" s="62">
        <f>EFEITO!$J$524*EFEITO!$Y$524</f>
        <v>0</v>
      </c>
      <c r="K524" s="62">
        <f ca="1">EFEITO!$L$524*EFEITO!$Z$524</f>
        <v>288.02383545597621</v>
      </c>
      <c r="L524" s="62">
        <f>EFEITO!$N$524*EFEITO!$AA$524</f>
        <v>66.671856669024407</v>
      </c>
      <c r="M524" s="62">
        <f>$J$524-EFEITO!$K$524*EFEITO!$Y$524</f>
        <v>0</v>
      </c>
      <c r="N524" s="62">
        <f ca="1">$K$524-EFEITO!$M$524*EFEITO!$Z$524</f>
        <v>0</v>
      </c>
      <c r="O524" s="62">
        <f>$L$524-EFEITO!$O$524*EFEITO!$AA$524</f>
        <v>0</v>
      </c>
      <c r="P524" s="45"/>
      <c r="Q524" s="45"/>
      <c r="R524" s="45"/>
      <c r="S524" s="45"/>
      <c r="T524" s="45"/>
      <c r="U524" s="45"/>
      <c r="V524" s="45"/>
      <c r="W524" s="45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41" t="s">
        <v>21</v>
      </c>
      <c r="B525" s="41" t="s">
        <v>33</v>
      </c>
      <c r="C525" s="41" t="s">
        <v>23</v>
      </c>
      <c r="D525" s="41" t="s">
        <v>49</v>
      </c>
      <c r="E525" s="41" t="s">
        <v>50</v>
      </c>
      <c r="F525" s="41" t="s">
        <v>25</v>
      </c>
      <c r="G525" s="41" t="s">
        <v>25</v>
      </c>
      <c r="H525" s="41" t="s">
        <v>25</v>
      </c>
      <c r="I525" s="61">
        <v>44440</v>
      </c>
      <c r="J525" s="62">
        <f>EFEITO!$J$525*EFEITO!$Y$524</f>
        <v>0</v>
      </c>
      <c r="K525" s="62">
        <f ca="1">EFEITO!$L$525*EFEITO!$Z$524</f>
        <v>10135.724029273522</v>
      </c>
      <c r="L525" s="62">
        <f>EFEITO!$N$525*EFEITO!$AA$524</f>
        <v>2346.220890526959</v>
      </c>
      <c r="M525" s="62">
        <f>$J$525-EFEITO!$K$525*EFEITO!$Y$525</f>
        <v>0</v>
      </c>
      <c r="N525" s="62">
        <f ca="1">$K$525-EFEITO!$M$525*EFEITO!$Z$525</f>
        <v>304.07172087820618</v>
      </c>
      <c r="O525" s="62">
        <f>$L$525-EFEITO!$O$525*EFEITO!$AA$525</f>
        <v>70.386626715809143</v>
      </c>
      <c r="P525" s="45"/>
      <c r="Q525" s="45"/>
      <c r="R525" s="45"/>
      <c r="S525" s="45"/>
      <c r="T525" s="45"/>
      <c r="U525" s="45"/>
      <c r="V525" s="45"/>
      <c r="W525" s="45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41" t="s">
        <v>21</v>
      </c>
      <c r="B526" s="41" t="s">
        <v>33</v>
      </c>
      <c r="C526" s="41" t="s">
        <v>23</v>
      </c>
      <c r="D526" s="41" t="s">
        <v>49</v>
      </c>
      <c r="E526" s="41" t="s">
        <v>50</v>
      </c>
      <c r="F526" s="41" t="s">
        <v>25</v>
      </c>
      <c r="G526" s="41" t="s">
        <v>25</v>
      </c>
      <c r="H526" s="41" t="s">
        <v>25</v>
      </c>
      <c r="I526" s="61">
        <v>44470</v>
      </c>
      <c r="J526" s="62">
        <f>EFEITO!$J$526*EFEITO!$Y$524</f>
        <v>0</v>
      </c>
      <c r="K526" s="62">
        <f ca="1">EFEITO!$L$526*EFEITO!$Z$524</f>
        <v>9922.6572165694106</v>
      </c>
      <c r="L526" s="62">
        <f>EFEITO!$N$526*EFEITO!$AA$524</f>
        <v>2296.9001113107342</v>
      </c>
      <c r="M526" s="62">
        <f>$J$526-EFEITO!$K$526*EFEITO!$Y$526</f>
        <v>0</v>
      </c>
      <c r="N526" s="62">
        <f ca="1">$K$526-EFEITO!$M$526*EFEITO!$Z$526</f>
        <v>297.67971649708306</v>
      </c>
      <c r="O526" s="62">
        <f>$L$526-EFEITO!$O$526*EFEITO!$AA$526</f>
        <v>68.907003339322273</v>
      </c>
      <c r="P526" s="45"/>
      <c r="Q526" s="45"/>
      <c r="R526" s="45"/>
      <c r="S526" s="45"/>
      <c r="T526" s="45"/>
      <c r="U526" s="45"/>
      <c r="V526" s="45"/>
      <c r="W526" s="45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41" t="s">
        <v>21</v>
      </c>
      <c r="B527" s="41" t="s">
        <v>33</v>
      </c>
      <c r="C527" s="41" t="s">
        <v>23</v>
      </c>
      <c r="D527" s="41" t="s">
        <v>49</v>
      </c>
      <c r="E527" s="41" t="s">
        <v>50</v>
      </c>
      <c r="F527" s="41" t="s">
        <v>25</v>
      </c>
      <c r="G527" s="41" t="s">
        <v>25</v>
      </c>
      <c r="H527" s="41" t="s">
        <v>25</v>
      </c>
      <c r="I527" s="61">
        <v>44501</v>
      </c>
      <c r="J527" s="62">
        <f>EFEITO!$J$527*EFEITO!$Y$524</f>
        <v>0</v>
      </c>
      <c r="K527" s="62">
        <f ca="1">EFEITO!$L$527*EFEITO!$Z$524</f>
        <v>10657.472124648692</v>
      </c>
      <c r="L527" s="62">
        <f>EFEITO!$N$527*EFEITO!$AA$524</f>
        <v>2466.9953194110117</v>
      </c>
      <c r="M527" s="62">
        <f>$J$527-EFEITO!$K$527*EFEITO!$Y$527</f>
        <v>0</v>
      </c>
      <c r="N527" s="62">
        <f ca="1">$K$527-EFEITO!$M$527*EFEITO!$Z$527</f>
        <v>319.7241637394618</v>
      </c>
      <c r="O527" s="62">
        <f>$L$527-EFEITO!$O$527*EFEITO!$AA$527</f>
        <v>74.009859582331046</v>
      </c>
      <c r="P527" s="45"/>
      <c r="Q527" s="45"/>
      <c r="R527" s="45"/>
      <c r="S527" s="45"/>
      <c r="T527" s="45"/>
      <c r="U527" s="45"/>
      <c r="V527" s="45"/>
      <c r="W527" s="45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41" t="s">
        <v>21</v>
      </c>
      <c r="B528" s="41" t="s">
        <v>33</v>
      </c>
      <c r="C528" s="41" t="s">
        <v>23</v>
      </c>
      <c r="D528" s="41" t="s">
        <v>49</v>
      </c>
      <c r="E528" s="41" t="s">
        <v>50</v>
      </c>
      <c r="F528" s="41" t="s">
        <v>25</v>
      </c>
      <c r="G528" s="41" t="s">
        <v>25</v>
      </c>
      <c r="H528" s="41" t="s">
        <v>25</v>
      </c>
      <c r="I528" s="61">
        <v>44531</v>
      </c>
      <c r="J528" s="62">
        <f>EFEITO!$J$528*EFEITO!$Y$524</f>
        <v>0</v>
      </c>
      <c r="K528" s="62">
        <f ca="1">EFEITO!$L$528*EFEITO!$Z$524</f>
        <v>10802.074255154255</v>
      </c>
      <c r="L528" s="62">
        <f>EFEITO!$N$528*EFEITO!$AA$524</f>
        <v>2500.4678704026323</v>
      </c>
      <c r="M528" s="62">
        <f>$J$528-EFEITO!$K$528*EFEITO!$Y$528</f>
        <v>0</v>
      </c>
      <c r="N528" s="62">
        <f ca="1">$K$528-EFEITO!$M$528*EFEITO!$Z$528</f>
        <v>324.06222765462917</v>
      </c>
      <c r="O528" s="62">
        <f>$L$528-EFEITO!$O$528*EFEITO!$AA$528</f>
        <v>75.014036112079339</v>
      </c>
      <c r="P528" s="45"/>
      <c r="Q528" s="45"/>
      <c r="R528" s="45"/>
      <c r="S528" s="45"/>
      <c r="T528" s="45"/>
      <c r="U528" s="45"/>
      <c r="V528" s="45"/>
      <c r="W528" s="45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41" t="s">
        <v>21</v>
      </c>
      <c r="B529" s="41" t="s">
        <v>33</v>
      </c>
      <c r="C529" s="41" t="s">
        <v>23</v>
      </c>
      <c r="D529" s="41" t="s">
        <v>49</v>
      </c>
      <c r="E529" s="41" t="s">
        <v>50</v>
      </c>
      <c r="F529" s="41" t="s">
        <v>25</v>
      </c>
      <c r="G529" s="41" t="s">
        <v>25</v>
      </c>
      <c r="H529" s="41" t="s">
        <v>25</v>
      </c>
      <c r="I529" s="61">
        <v>44562</v>
      </c>
      <c r="J529" s="62">
        <f>EFEITO!$J$529*EFEITO!$Y$524</f>
        <v>0</v>
      </c>
      <c r="K529" s="62">
        <f ca="1">EFEITO!$L$529*EFEITO!$Z$524</f>
        <v>12555.006204548208</v>
      </c>
      <c r="L529" s="62">
        <f>EFEITO!$N$529*EFEITO!$AA$524</f>
        <v>2906.2371620153422</v>
      </c>
      <c r="M529" s="62">
        <f>$J$529-EFEITO!$K$529*EFEITO!$Y$529</f>
        <v>0</v>
      </c>
      <c r="N529" s="62">
        <f ca="1">$K$529-EFEITO!$M$529*EFEITO!$Z$529</f>
        <v>376.65018613644861</v>
      </c>
      <c r="O529" s="62">
        <f>$L$529-EFEITO!$O$529*EFEITO!$AA$529</f>
        <v>87.187114860460497</v>
      </c>
      <c r="P529" s="45"/>
      <c r="Q529" s="45"/>
      <c r="R529" s="45"/>
      <c r="S529" s="45"/>
      <c r="T529" s="45"/>
      <c r="U529" s="45"/>
      <c r="V529" s="45"/>
      <c r="W529" s="45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41" t="s">
        <v>21</v>
      </c>
      <c r="B530" s="41" t="s">
        <v>33</v>
      </c>
      <c r="C530" s="41" t="s">
        <v>23</v>
      </c>
      <c r="D530" s="41" t="s">
        <v>49</v>
      </c>
      <c r="E530" s="41" t="s">
        <v>50</v>
      </c>
      <c r="F530" s="41" t="s">
        <v>25</v>
      </c>
      <c r="G530" s="41" t="s">
        <v>25</v>
      </c>
      <c r="H530" s="41" t="s">
        <v>25</v>
      </c>
      <c r="I530" s="61">
        <v>44593</v>
      </c>
      <c r="J530" s="62">
        <f>EFEITO!$J$530*EFEITO!$Y$524</f>
        <v>0</v>
      </c>
      <c r="K530" s="62">
        <f ca="1">EFEITO!$L$530*EFEITO!$Z$524</f>
        <v>14542.252626638929</v>
      </c>
      <c r="L530" s="62">
        <f>EFEITO!$N$530*EFEITO!$AA$524</f>
        <v>3366.245648500189</v>
      </c>
      <c r="M530" s="62">
        <f>$J$530-EFEITO!$K$530*EFEITO!$Y$530</f>
        <v>0</v>
      </c>
      <c r="N530" s="62">
        <f ca="1">$K$530-EFEITO!$M$530*EFEITO!$Z$530</f>
        <v>436.2675787991684</v>
      </c>
      <c r="O530" s="62">
        <f>$L$530-EFEITO!$O$530*EFEITO!$AA$530</f>
        <v>100.98736945500605</v>
      </c>
      <c r="P530" s="45"/>
      <c r="Q530" s="45"/>
      <c r="R530" s="45"/>
      <c r="S530" s="45"/>
      <c r="T530" s="45"/>
      <c r="U530" s="45"/>
      <c r="V530" s="45"/>
      <c r="W530" s="45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41" t="s">
        <v>21</v>
      </c>
      <c r="B531" s="41" t="s">
        <v>33</v>
      </c>
      <c r="C531" s="41" t="s">
        <v>23</v>
      </c>
      <c r="D531" s="41" t="s">
        <v>49</v>
      </c>
      <c r="E531" s="41" t="s">
        <v>50</v>
      </c>
      <c r="F531" s="41" t="s">
        <v>25</v>
      </c>
      <c r="G531" s="41" t="s">
        <v>25</v>
      </c>
      <c r="H531" s="41" t="s">
        <v>25</v>
      </c>
      <c r="I531" s="61">
        <v>44621</v>
      </c>
      <c r="J531" s="62">
        <f>EFEITO!$J$531*EFEITO!$Y$524</f>
        <v>0</v>
      </c>
      <c r="K531" s="62">
        <f ca="1">EFEITO!$L$531*EFEITO!$Z$524</f>
        <v>13024.815575496892</v>
      </c>
      <c r="L531" s="62">
        <f>EFEITO!$N$531*EFEITO!$AA$524</f>
        <v>3014.9887970738332</v>
      </c>
      <c r="M531" s="62">
        <f>$J$531-EFEITO!$K$531*EFEITO!$Y$531</f>
        <v>0</v>
      </c>
      <c r="N531" s="62">
        <f ca="1">$K$531-EFEITO!$M$531*EFEITO!$Z$531</f>
        <v>390.74446726490896</v>
      </c>
      <c r="O531" s="62">
        <f>$L$531-EFEITO!$O$531*EFEITO!$AA$531</f>
        <v>90.449663912215328</v>
      </c>
      <c r="P531" s="45"/>
      <c r="Q531" s="45"/>
      <c r="R531" s="45"/>
      <c r="S531" s="45"/>
      <c r="T531" s="45"/>
      <c r="U531" s="45"/>
      <c r="V531" s="45"/>
      <c r="W531" s="45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41" t="s">
        <v>21</v>
      </c>
      <c r="B532" s="41" t="s">
        <v>33</v>
      </c>
      <c r="C532" s="41" t="s">
        <v>23</v>
      </c>
      <c r="D532" s="41" t="s">
        <v>49</v>
      </c>
      <c r="E532" s="41" t="s">
        <v>50</v>
      </c>
      <c r="F532" s="41" t="s">
        <v>25</v>
      </c>
      <c r="G532" s="41" t="s">
        <v>25</v>
      </c>
      <c r="H532" s="41" t="s">
        <v>25</v>
      </c>
      <c r="I532" s="61">
        <v>44652</v>
      </c>
      <c r="J532" s="62">
        <f>EFEITO!$J$532*EFEITO!$Y$524</f>
        <v>0</v>
      </c>
      <c r="K532" s="62">
        <f ca="1">EFEITO!$L$532*EFEITO!$Z$524</f>
        <v>12300.624497413935</v>
      </c>
      <c r="L532" s="62">
        <f>EFEITO!$N$532*EFEITO!$AA$524</f>
        <v>2847.3527968015119</v>
      </c>
      <c r="M532" s="62">
        <f>$J$532-EFEITO!$K$532*EFEITO!$Y$532</f>
        <v>0</v>
      </c>
      <c r="N532" s="62">
        <f ca="1">$K$532-EFEITO!$M$532*EFEITO!$Z$532</f>
        <v>369.01873492241975</v>
      </c>
      <c r="O532" s="62">
        <f>$L$532-EFEITO!$O$532*EFEITO!$AA$532</f>
        <v>85.420583904045998</v>
      </c>
      <c r="P532" s="45"/>
      <c r="Q532" s="45"/>
      <c r="R532" s="45"/>
      <c r="S532" s="45"/>
      <c r="T532" s="45"/>
      <c r="U532" s="45"/>
      <c r="V532" s="45"/>
      <c r="W532" s="45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41" t="s">
        <v>21</v>
      </c>
      <c r="B533" s="41" t="s">
        <v>33</v>
      </c>
      <c r="C533" s="41" t="s">
        <v>23</v>
      </c>
      <c r="D533" s="41" t="s">
        <v>49</v>
      </c>
      <c r="E533" s="41" t="s">
        <v>50</v>
      </c>
      <c r="F533" s="41" t="s">
        <v>25</v>
      </c>
      <c r="G533" s="41" t="s">
        <v>25</v>
      </c>
      <c r="H533" s="41" t="s">
        <v>25</v>
      </c>
      <c r="I533" s="61">
        <v>44682</v>
      </c>
      <c r="J533" s="62">
        <f>EFEITO!$J$533*EFEITO!$Y$524</f>
        <v>0</v>
      </c>
      <c r="K533" s="62">
        <f ca="1">EFEITO!$L$533*EFEITO!$Z$524</f>
        <v>11682.671719294249</v>
      </c>
      <c r="L533" s="62">
        <f>EFEITO!$N$533*EFEITO!$AA$524</f>
        <v>2704.308874808748</v>
      </c>
      <c r="M533" s="62">
        <f>$J$533-EFEITO!$K$533*EFEITO!$Y$533</f>
        <v>0</v>
      </c>
      <c r="N533" s="62">
        <f ca="1">$K$533-EFEITO!$M$533*EFEITO!$Z$533</f>
        <v>350.48015157882946</v>
      </c>
      <c r="O533" s="62">
        <f>$L$533-EFEITO!$O$533*EFEITO!$AA$533</f>
        <v>81.129266244262453</v>
      </c>
      <c r="P533" s="45"/>
      <c r="Q533" s="45"/>
      <c r="R533" s="45"/>
      <c r="S533" s="45"/>
      <c r="T533" s="45"/>
      <c r="U533" s="45"/>
      <c r="V533" s="45"/>
      <c r="W533" s="45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41" t="s">
        <v>21</v>
      </c>
      <c r="B534" s="41" t="s">
        <v>33</v>
      </c>
      <c r="C534" s="41" t="s">
        <v>23</v>
      </c>
      <c r="D534" s="41" t="s">
        <v>49</v>
      </c>
      <c r="E534" s="41" t="s">
        <v>50</v>
      </c>
      <c r="F534" s="41" t="s">
        <v>25</v>
      </c>
      <c r="G534" s="41" t="s">
        <v>25</v>
      </c>
      <c r="H534" s="41" t="s">
        <v>25</v>
      </c>
      <c r="I534" s="61">
        <v>44713</v>
      </c>
      <c r="J534" s="62">
        <f>EFEITO!$J$534*EFEITO!$Y$524</f>
        <v>0</v>
      </c>
      <c r="K534" s="62">
        <f ca="1">EFEITO!$L$534*EFEITO!$Z$524</f>
        <v>12671.278121730233</v>
      </c>
      <c r="L534" s="62">
        <f>EFEITO!$N$534*EFEITO!$AA$524</f>
        <v>2933.1518254657481</v>
      </c>
      <c r="M534" s="62">
        <f>$J$534-EFEITO!$K$534*EFEITO!$Y$534</f>
        <v>0</v>
      </c>
      <c r="N534" s="62">
        <f ca="1">$K$534-EFEITO!$M$534*EFEITO!$Z$534</f>
        <v>380.13834365190814</v>
      </c>
      <c r="O534" s="62">
        <f>$L$534-EFEITO!$O$534*EFEITO!$AA$534</f>
        <v>87.994554763972701</v>
      </c>
      <c r="P534" s="45"/>
      <c r="Q534" s="45"/>
      <c r="R534" s="45"/>
      <c r="S534" s="45"/>
      <c r="T534" s="45"/>
      <c r="U534" s="45"/>
      <c r="V534" s="45"/>
      <c r="W534" s="45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41" t="s">
        <v>21</v>
      </c>
      <c r="B535" s="41" t="s">
        <v>33</v>
      </c>
      <c r="C535" s="41" t="s">
        <v>23</v>
      </c>
      <c r="D535" s="41" t="s">
        <v>49</v>
      </c>
      <c r="E535" s="41" t="s">
        <v>50</v>
      </c>
      <c r="F535" s="41" t="s">
        <v>25</v>
      </c>
      <c r="G535" s="41" t="s">
        <v>25</v>
      </c>
      <c r="H535" s="41" t="s">
        <v>25</v>
      </c>
      <c r="I535" s="61">
        <v>44743</v>
      </c>
      <c r="J535" s="62">
        <f>EFEITO!$J$535*EFEITO!$Y$524</f>
        <v>0</v>
      </c>
      <c r="K535" s="62">
        <f ca="1">EFEITO!$L$535*EFEITO!$Z$524</f>
        <v>12328.364497959901</v>
      </c>
      <c r="L535" s="62">
        <f>EFEITO!$N$535*EFEITO!$AA$524</f>
        <v>2853.7740616856186</v>
      </c>
      <c r="M535" s="62">
        <f>$J$535-EFEITO!$K$535*EFEITO!$Y$535</f>
        <v>0</v>
      </c>
      <c r="N535" s="62">
        <f ca="1">$K$535-EFEITO!$M$535*EFEITO!$Z$535</f>
        <v>369.85093493879867</v>
      </c>
      <c r="O535" s="62">
        <f>$L$535-EFEITO!$O$535*EFEITO!$AA$535</f>
        <v>85.613221850568607</v>
      </c>
      <c r="P535" s="45"/>
      <c r="Q535" s="45"/>
      <c r="R535" s="45"/>
      <c r="S535" s="45"/>
      <c r="T535" s="45"/>
      <c r="U535" s="45"/>
      <c r="V535" s="45"/>
      <c r="W535" s="45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41" t="s">
        <v>55</v>
      </c>
      <c r="B536" s="41" t="s">
        <v>33</v>
      </c>
      <c r="C536" s="41" t="s">
        <v>23</v>
      </c>
      <c r="D536" s="41" t="s">
        <v>49</v>
      </c>
      <c r="E536" s="41" t="s">
        <v>50</v>
      </c>
      <c r="F536" s="41" t="s">
        <v>25</v>
      </c>
      <c r="G536" s="41" t="s">
        <v>25</v>
      </c>
      <c r="H536" s="41" t="s">
        <v>25</v>
      </c>
      <c r="I536" s="61">
        <v>44774</v>
      </c>
      <c r="J536" s="62">
        <f>EFEITO!$J$536*EFEITO!$Y$524</f>
        <v>0</v>
      </c>
      <c r="K536" s="62">
        <f ca="1">EFEITO!$L$536*EFEITO!$Z$524</f>
        <v>12328.364497959901</v>
      </c>
      <c r="L536" s="62">
        <f>EFEITO!$N$536*EFEITO!$AA$524</f>
        <v>2853.7740616856186</v>
      </c>
      <c r="M536" s="62">
        <f>$J$536-EFEITO!$K$536*EFEITO!$Y$536</f>
        <v>0</v>
      </c>
      <c r="N536" s="62">
        <f ca="1">$K$536-EFEITO!$M$536*EFEITO!$Z$536</f>
        <v>369.85093493879867</v>
      </c>
      <c r="O536" s="62">
        <f>$L$536-EFEITO!$O$536*EFEITO!$AA$536</f>
        <v>85.613221850568607</v>
      </c>
      <c r="P536" s="45"/>
      <c r="Q536" s="45"/>
      <c r="R536" s="45"/>
      <c r="S536" s="45"/>
      <c r="T536" s="45"/>
      <c r="U536" s="45"/>
      <c r="V536" s="45"/>
      <c r="W536" s="45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41" t="s">
        <v>21</v>
      </c>
      <c r="B537" s="41" t="s">
        <v>46</v>
      </c>
      <c r="C537" s="41" t="s">
        <v>23</v>
      </c>
      <c r="D537" s="41" t="s">
        <v>47</v>
      </c>
      <c r="E537" s="41" t="s">
        <v>48</v>
      </c>
      <c r="F537" s="41" t="s">
        <v>25</v>
      </c>
      <c r="G537" s="41" t="s">
        <v>25</v>
      </c>
      <c r="H537" s="41" t="s">
        <v>25</v>
      </c>
      <c r="I537" s="61">
        <v>44440</v>
      </c>
      <c r="J537" s="62">
        <f>EFEITO!$J$537*EFEITO!$Y$537</f>
        <v>0</v>
      </c>
      <c r="K537" s="62">
        <f ca="1">EFEITO!$L$537*EFEITO!$Z$537</f>
        <v>140508.8573398937</v>
      </c>
      <c r="L537" s="62">
        <f>EFEITO!$N$537*EFEITO!$AA$537</f>
        <v>32525.03870890805</v>
      </c>
      <c r="M537" s="62">
        <f>$J$537-EFEITO!$K$537*EFEITO!$Y$537</f>
        <v>0</v>
      </c>
      <c r="N537" s="62">
        <f ca="1">$K$537-EFEITO!$M$537*EFEITO!$Z$537</f>
        <v>0</v>
      </c>
      <c r="O537" s="62">
        <f>$L$537-EFEITO!$O$537*EFEITO!$AA$537</f>
        <v>0</v>
      </c>
      <c r="P537" s="45"/>
      <c r="Q537" s="45"/>
      <c r="R537" s="45"/>
      <c r="S537" s="45"/>
      <c r="T537" s="45"/>
      <c r="U537" s="45"/>
      <c r="V537" s="45"/>
      <c r="W537" s="45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41" t="s">
        <v>21</v>
      </c>
      <c r="B538" s="41" t="s">
        <v>46</v>
      </c>
      <c r="C538" s="41" t="s">
        <v>23</v>
      </c>
      <c r="D538" s="41" t="s">
        <v>47</v>
      </c>
      <c r="E538" s="41" t="s">
        <v>48</v>
      </c>
      <c r="F538" s="41" t="s">
        <v>25</v>
      </c>
      <c r="G538" s="41" t="s">
        <v>25</v>
      </c>
      <c r="H538" s="41" t="s">
        <v>25</v>
      </c>
      <c r="I538" s="61">
        <v>44470</v>
      </c>
      <c r="J538" s="62">
        <f>EFEITO!$J$538*EFEITO!$Y$538</f>
        <v>0</v>
      </c>
      <c r="K538" s="62">
        <f ca="1">EFEITO!$L$538*EFEITO!$Z$538</f>
        <v>129516.67554908292</v>
      </c>
      <c r="L538" s="62">
        <f>EFEITO!$N$538*EFEITO!$AA$538</f>
        <v>29980.564680650717</v>
      </c>
      <c r="M538" s="62">
        <f>$J$538-EFEITO!$K$538*EFEITO!$Y$538</f>
        <v>0</v>
      </c>
      <c r="N538" s="62">
        <f ca="1">$K$538-EFEITO!$M$538*EFEITO!$Z$538</f>
        <v>0</v>
      </c>
      <c r="O538" s="62">
        <f>$L$538-EFEITO!$O$538*EFEITO!$AA$538</f>
        <v>0</v>
      </c>
      <c r="P538" s="45"/>
      <c r="Q538" s="45"/>
      <c r="R538" s="45"/>
      <c r="S538" s="45"/>
      <c r="T538" s="45"/>
      <c r="U538" s="45"/>
      <c r="V538" s="45"/>
      <c r="W538" s="45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41" t="s">
        <v>21</v>
      </c>
      <c r="B539" s="41" t="s">
        <v>46</v>
      </c>
      <c r="C539" s="41" t="s">
        <v>23</v>
      </c>
      <c r="D539" s="41" t="s">
        <v>47</v>
      </c>
      <c r="E539" s="41" t="s">
        <v>48</v>
      </c>
      <c r="F539" s="41" t="s">
        <v>25</v>
      </c>
      <c r="G539" s="41" t="s">
        <v>25</v>
      </c>
      <c r="H539" s="41" t="s">
        <v>25</v>
      </c>
      <c r="I539" s="61">
        <v>44501</v>
      </c>
      <c r="J539" s="62">
        <f>EFEITO!$J$539*EFEITO!$Y$539</f>
        <v>0</v>
      </c>
      <c r="K539" s="62">
        <f ca="1">EFEITO!$L$539*EFEITO!$Z$539</f>
        <v>120288.13806957909</v>
      </c>
      <c r="L539" s="62">
        <f>EFEITO!$N$539*EFEITO!$AA$539</f>
        <v>27844.339645232616</v>
      </c>
      <c r="M539" s="62">
        <f>$J$539-EFEITO!$K$539*EFEITO!$Y$539</f>
        <v>0</v>
      </c>
      <c r="N539" s="62">
        <f ca="1">$K$539-EFEITO!$M$539*EFEITO!$Z$539</f>
        <v>0</v>
      </c>
      <c r="O539" s="62">
        <f>$L$539-EFEITO!$O$539*EFEITO!$AA$539</f>
        <v>0</v>
      </c>
      <c r="P539" s="45"/>
      <c r="Q539" s="45"/>
      <c r="R539" s="45"/>
      <c r="S539" s="45"/>
      <c r="T539" s="45"/>
      <c r="U539" s="45"/>
      <c r="V539" s="45"/>
      <c r="W539" s="45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41" t="s">
        <v>21</v>
      </c>
      <c r="B540" s="41" t="s">
        <v>46</v>
      </c>
      <c r="C540" s="41" t="s">
        <v>23</v>
      </c>
      <c r="D540" s="41" t="s">
        <v>47</v>
      </c>
      <c r="E540" s="41" t="s">
        <v>48</v>
      </c>
      <c r="F540" s="41" t="s">
        <v>25</v>
      </c>
      <c r="G540" s="41" t="s">
        <v>25</v>
      </c>
      <c r="H540" s="41" t="s">
        <v>25</v>
      </c>
      <c r="I540" s="61">
        <v>44531</v>
      </c>
      <c r="J540" s="62">
        <f>EFEITO!$J$540*EFEITO!$Y$540</f>
        <v>0</v>
      </c>
      <c r="K540" s="62">
        <f ca="1">EFEITO!$L$540*EFEITO!$Z$540</f>
        <v>116674.82593463389</v>
      </c>
      <c r="L540" s="62">
        <f>EFEITO!$N$540*EFEITO!$AA$540</f>
        <v>27007.92890728057</v>
      </c>
      <c r="M540" s="62">
        <f>$J$540-EFEITO!$K$540*EFEITO!$Y$540</f>
        <v>0</v>
      </c>
      <c r="N540" s="62">
        <f ca="1">$K$540-EFEITO!$M$540*EFEITO!$Z$540</f>
        <v>0</v>
      </c>
      <c r="O540" s="62">
        <f>$L$540-EFEITO!$O$540*EFEITO!$AA$540</f>
        <v>0</v>
      </c>
      <c r="P540" s="45"/>
      <c r="Q540" s="45"/>
      <c r="R540" s="45"/>
      <c r="S540" s="45"/>
      <c r="T540" s="45"/>
      <c r="U540" s="45"/>
      <c r="V540" s="45"/>
      <c r="W540" s="45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41" t="s">
        <v>21</v>
      </c>
      <c r="B541" s="41" t="s">
        <v>46</v>
      </c>
      <c r="C541" s="41" t="s">
        <v>23</v>
      </c>
      <c r="D541" s="41" t="s">
        <v>47</v>
      </c>
      <c r="E541" s="41" t="s">
        <v>48</v>
      </c>
      <c r="F541" s="41" t="s">
        <v>25</v>
      </c>
      <c r="G541" s="41" t="s">
        <v>25</v>
      </c>
      <c r="H541" s="41" t="s">
        <v>25</v>
      </c>
      <c r="I541" s="61">
        <v>44562</v>
      </c>
      <c r="J541" s="62">
        <f>EFEITO!$J$541*EFEITO!$Y$541</f>
        <v>0</v>
      </c>
      <c r="K541" s="62">
        <f ca="1">EFEITO!$L$541*EFEITO!$Z$541</f>
        <v>118373.87145743535</v>
      </c>
      <c r="L541" s="62">
        <f>EFEITO!$N$541*EFEITO!$AA$541</f>
        <v>27401.224550299255</v>
      </c>
      <c r="M541" s="62">
        <f>$J$541-EFEITO!$K$541*EFEITO!$Y$541</f>
        <v>0</v>
      </c>
      <c r="N541" s="62">
        <f ca="1">$K$541-EFEITO!$M$541*EFEITO!$Z$541</f>
        <v>0</v>
      </c>
      <c r="O541" s="62">
        <f>$L$541-EFEITO!$O$541*EFEITO!$AA$541</f>
        <v>0</v>
      </c>
      <c r="P541" s="45"/>
      <c r="Q541" s="45"/>
      <c r="R541" s="45"/>
      <c r="S541" s="45"/>
      <c r="T541" s="45"/>
      <c r="U541" s="45"/>
      <c r="V541" s="45"/>
      <c r="W541" s="45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41" t="s">
        <v>21</v>
      </c>
      <c r="B542" s="41" t="s">
        <v>46</v>
      </c>
      <c r="C542" s="41" t="s">
        <v>23</v>
      </c>
      <c r="D542" s="41" t="s">
        <v>47</v>
      </c>
      <c r="E542" s="41" t="s">
        <v>48</v>
      </c>
      <c r="F542" s="41" t="s">
        <v>25</v>
      </c>
      <c r="G542" s="41" t="s">
        <v>25</v>
      </c>
      <c r="H542" s="41" t="s">
        <v>25</v>
      </c>
      <c r="I542" s="61">
        <v>44593</v>
      </c>
      <c r="J542" s="62">
        <f>EFEITO!$J$542*EFEITO!$Y$542</f>
        <v>0</v>
      </c>
      <c r="K542" s="62">
        <f ca="1">EFEITO!$L$542*EFEITO!$Z$542</f>
        <v>126248.10669751852</v>
      </c>
      <c r="L542" s="62">
        <f>EFEITO!$N$542*EFEITO!$AA$542</f>
        <v>29223.955236715832</v>
      </c>
      <c r="M542" s="62">
        <f>$J$542-EFEITO!$K$542*EFEITO!$Y$542</f>
        <v>0</v>
      </c>
      <c r="N542" s="62">
        <f ca="1">$K$542-EFEITO!$M$542*EFEITO!$Z$542</f>
        <v>0</v>
      </c>
      <c r="O542" s="62">
        <f>$L$542-EFEITO!$O$542*EFEITO!$AA$542</f>
        <v>0</v>
      </c>
      <c r="P542" s="45"/>
      <c r="Q542" s="45"/>
      <c r="R542" s="45"/>
      <c r="S542" s="45"/>
      <c r="T542" s="45"/>
      <c r="U542" s="45"/>
      <c r="V542" s="45"/>
      <c r="W542" s="45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41" t="s">
        <v>21</v>
      </c>
      <c r="B543" s="41" t="s">
        <v>46</v>
      </c>
      <c r="C543" s="41" t="s">
        <v>23</v>
      </c>
      <c r="D543" s="41" t="s">
        <v>47</v>
      </c>
      <c r="E543" s="41" t="s">
        <v>48</v>
      </c>
      <c r="F543" s="41" t="s">
        <v>25</v>
      </c>
      <c r="G543" s="41" t="s">
        <v>25</v>
      </c>
      <c r="H543" s="41" t="s">
        <v>25</v>
      </c>
      <c r="I543" s="61">
        <v>44621</v>
      </c>
      <c r="J543" s="62">
        <f>EFEITO!$J$543*EFEITO!$Y$543</f>
        <v>0</v>
      </c>
      <c r="K543" s="62">
        <f ca="1">EFEITO!$L$543*EFEITO!$Z$543</f>
        <v>136513.7955804138</v>
      </c>
      <c r="L543" s="62">
        <f>EFEITO!$N$543*EFEITO!$AA$543</f>
        <v>31600.260436338118</v>
      </c>
      <c r="M543" s="62">
        <f>$J$543-EFEITO!$K$543*EFEITO!$Y$543</f>
        <v>0</v>
      </c>
      <c r="N543" s="62">
        <f ca="1">$K$543-EFEITO!$M$543*EFEITO!$Z$543</f>
        <v>0</v>
      </c>
      <c r="O543" s="62">
        <f>$L$543-EFEITO!$O$543*EFEITO!$AA$543</f>
        <v>0</v>
      </c>
      <c r="P543" s="45"/>
      <c r="Q543" s="45"/>
      <c r="R543" s="45"/>
      <c r="S543" s="45"/>
      <c r="T543" s="45"/>
      <c r="U543" s="45"/>
      <c r="V543" s="45"/>
      <c r="W543" s="45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41" t="s">
        <v>21</v>
      </c>
      <c r="B544" s="41" t="s">
        <v>46</v>
      </c>
      <c r="C544" s="41" t="s">
        <v>23</v>
      </c>
      <c r="D544" s="41" t="s">
        <v>47</v>
      </c>
      <c r="E544" s="41" t="s">
        <v>48</v>
      </c>
      <c r="F544" s="41" t="s">
        <v>25</v>
      </c>
      <c r="G544" s="41" t="s">
        <v>25</v>
      </c>
      <c r="H544" s="41" t="s">
        <v>25</v>
      </c>
      <c r="I544" s="61">
        <v>44652</v>
      </c>
      <c r="J544" s="62">
        <f>EFEITO!$J$544*EFEITO!$Y$544</f>
        <v>0</v>
      </c>
      <c r="K544" s="62">
        <f ca="1">EFEITO!$L$544*EFEITO!$Z$544</f>
        <v>147050.21506438212</v>
      </c>
      <c r="L544" s="62">
        <f>EFEITO!$N$544*EFEITO!$AA$544</f>
        <v>34039.234448776144</v>
      </c>
      <c r="M544" s="62">
        <f>$J$544-EFEITO!$K$544*EFEITO!$Y$544</f>
        <v>0</v>
      </c>
      <c r="N544" s="62">
        <f ca="1">$K$544-EFEITO!$M$544*EFEITO!$Z$544</f>
        <v>0</v>
      </c>
      <c r="O544" s="62">
        <f>$L$544-EFEITO!$O$544*EFEITO!$AA$544</f>
        <v>0</v>
      </c>
      <c r="P544" s="45"/>
      <c r="Q544" s="45"/>
      <c r="R544" s="45"/>
      <c r="S544" s="45"/>
      <c r="T544" s="45"/>
      <c r="U544" s="45"/>
      <c r="V544" s="45"/>
      <c r="W544" s="45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41" t="s">
        <v>21</v>
      </c>
      <c r="B545" s="41" t="s">
        <v>46</v>
      </c>
      <c r="C545" s="41" t="s">
        <v>23</v>
      </c>
      <c r="D545" s="41" t="s">
        <v>47</v>
      </c>
      <c r="E545" s="41" t="s">
        <v>48</v>
      </c>
      <c r="F545" s="41" t="s">
        <v>25</v>
      </c>
      <c r="G545" s="41" t="s">
        <v>25</v>
      </c>
      <c r="H545" s="41" t="s">
        <v>25</v>
      </c>
      <c r="I545" s="61">
        <v>44682</v>
      </c>
      <c r="J545" s="62">
        <f>EFEITO!$J$545*EFEITO!$Y$545</f>
        <v>0</v>
      </c>
      <c r="K545" s="62">
        <f ca="1">EFEITO!$L$545*EFEITO!$Z$545</f>
        <v>155530.51029511687</v>
      </c>
      <c r="L545" s="62">
        <f>EFEITO!$N$545*EFEITO!$AA$545</f>
        <v>36002.256110644747</v>
      </c>
      <c r="M545" s="62">
        <f>$J$545-EFEITO!$K$545*EFEITO!$Y$545</f>
        <v>0</v>
      </c>
      <c r="N545" s="62">
        <f ca="1">$K$545-EFEITO!$M$545*EFEITO!$Z$545</f>
        <v>0</v>
      </c>
      <c r="O545" s="62">
        <f>$L$545-EFEITO!$O$545*EFEITO!$AA$545</f>
        <v>0</v>
      </c>
      <c r="P545" s="45"/>
      <c r="Q545" s="45"/>
      <c r="R545" s="45"/>
      <c r="S545" s="45"/>
      <c r="T545" s="45"/>
      <c r="U545" s="45"/>
      <c r="V545" s="45"/>
      <c r="W545" s="45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1.25" customHeight="1" x14ac:dyDescent="0.2">
      <c r="A546" s="41" t="s">
        <v>21</v>
      </c>
      <c r="B546" s="41" t="s">
        <v>46</v>
      </c>
      <c r="C546" s="41" t="s">
        <v>23</v>
      </c>
      <c r="D546" s="41" t="s">
        <v>47</v>
      </c>
      <c r="E546" s="41" t="s">
        <v>48</v>
      </c>
      <c r="F546" s="41" t="s">
        <v>25</v>
      </c>
      <c r="G546" s="41" t="s">
        <v>25</v>
      </c>
      <c r="H546" s="41" t="s">
        <v>25</v>
      </c>
      <c r="I546" s="61">
        <v>44713</v>
      </c>
      <c r="J546" s="62">
        <f>EFEITO!$J$546*EFEITO!$Y$546</f>
        <v>0</v>
      </c>
      <c r="K546" s="62">
        <f ca="1">EFEITO!$L$546*EFEITO!$Z$546</f>
        <v>159917.38480698908</v>
      </c>
      <c r="L546" s="62">
        <f>EFEITO!$N$546*EFEITO!$AA$546</f>
        <v>37017.731334136253</v>
      </c>
      <c r="M546" s="62">
        <f>$J$546-EFEITO!$K$546*EFEITO!$Y$546</f>
        <v>0</v>
      </c>
      <c r="N546" s="62">
        <f ca="1">$K$546-EFEITO!$M$546*EFEITO!$Z$546</f>
        <v>0</v>
      </c>
      <c r="O546" s="62">
        <f>$L$546-EFEITO!$O$546*EFEITO!$AA$546</f>
        <v>0</v>
      </c>
      <c r="P546" s="45"/>
      <c r="Q546" s="45"/>
      <c r="R546" s="45"/>
      <c r="S546" s="45"/>
      <c r="T546" s="45"/>
      <c r="U546" s="45"/>
      <c r="V546" s="45"/>
      <c r="W546" s="45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1.25" customHeight="1" x14ac:dyDescent="0.2">
      <c r="A547" s="41" t="s">
        <v>21</v>
      </c>
      <c r="B547" s="41" t="s">
        <v>46</v>
      </c>
      <c r="C547" s="41" t="s">
        <v>23</v>
      </c>
      <c r="D547" s="41" t="s">
        <v>47</v>
      </c>
      <c r="E547" s="41" t="s">
        <v>48</v>
      </c>
      <c r="F547" s="41" t="s">
        <v>25</v>
      </c>
      <c r="G547" s="41" t="s">
        <v>25</v>
      </c>
      <c r="H547" s="41" t="s">
        <v>25</v>
      </c>
      <c r="I547" s="61">
        <v>44743</v>
      </c>
      <c r="J547" s="62">
        <f>EFEITO!$J$547*EFEITO!$Y$547</f>
        <v>0</v>
      </c>
      <c r="K547" s="62">
        <f ca="1">EFEITO!$L$547*EFEITO!$Z$547</f>
        <v>158477.70828929238</v>
      </c>
      <c r="L547" s="62">
        <f>EFEITO!$N$547*EFEITO!$AA$547</f>
        <v>36684.474517783965</v>
      </c>
      <c r="M547" s="62">
        <f>$J$547-EFEITO!$K$547*EFEITO!$Y$547</f>
        <v>0</v>
      </c>
      <c r="N547" s="62">
        <f ca="1">$K$547-EFEITO!$M$547*EFEITO!$Z$547</f>
        <v>0</v>
      </c>
      <c r="O547" s="62">
        <f>$L$547-EFEITO!$O$547*EFEITO!$AA$547</f>
        <v>0</v>
      </c>
      <c r="P547" s="45"/>
      <c r="Q547" s="45"/>
      <c r="R547" s="45"/>
      <c r="S547" s="45"/>
      <c r="T547" s="45"/>
      <c r="U547" s="45"/>
      <c r="V547" s="45"/>
      <c r="W547" s="45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1.25" customHeight="1" x14ac:dyDescent="0.2">
      <c r="A548" s="41" t="s">
        <v>55</v>
      </c>
      <c r="B548" s="41" t="s">
        <v>46</v>
      </c>
      <c r="C548" s="41" t="s">
        <v>23</v>
      </c>
      <c r="D548" s="41" t="s">
        <v>47</v>
      </c>
      <c r="E548" s="41" t="s">
        <v>48</v>
      </c>
      <c r="F548" s="41" t="s">
        <v>25</v>
      </c>
      <c r="G548" s="41" t="s">
        <v>25</v>
      </c>
      <c r="H548" s="41" t="s">
        <v>25</v>
      </c>
      <c r="I548" s="61">
        <v>44774</v>
      </c>
      <c r="J548" s="62">
        <f>EFEITO!$J$548*EFEITO!$Y$548</f>
        <v>0</v>
      </c>
      <c r="K548" s="62">
        <f ca="1">EFEITO!$L$548*EFEITO!$Z$548</f>
        <v>158477.70828929238</v>
      </c>
      <c r="L548" s="62">
        <f>EFEITO!$N$548*EFEITO!$AA$548</f>
        <v>36684.474517783965</v>
      </c>
      <c r="M548" s="62">
        <f>$J$548-EFEITO!$K$548*EFEITO!$Y$548</f>
        <v>0</v>
      </c>
      <c r="N548" s="62">
        <f ca="1">$K$548-EFEITO!$M$548*EFEITO!$Z$548</f>
        <v>0</v>
      </c>
      <c r="O548" s="62">
        <f>$L$548-EFEITO!$O$548*EFEITO!$AA$548</f>
        <v>0</v>
      </c>
      <c r="P548" s="45"/>
      <c r="Q548" s="45"/>
      <c r="R548" s="45"/>
      <c r="S548" s="45"/>
      <c r="T548" s="45"/>
      <c r="U548" s="45"/>
      <c r="V548" s="45"/>
      <c r="W548" s="45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9939-AB79-4313-A2F3-F3B5374CE497}">
  <dimension ref="A1:BD103"/>
  <sheetViews>
    <sheetView showGridLines="0" topLeftCell="D4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1" width="10" style="9" bestFit="1" customWidth="1"/>
    <col min="42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62</v>
      </c>
      <c r="B1" s="91" t="s">
        <v>63</v>
      </c>
      <c r="C1" s="91" t="s">
        <v>64</v>
      </c>
      <c r="D1" s="91" t="s">
        <v>65</v>
      </c>
      <c r="E1" s="91" t="s">
        <v>66</v>
      </c>
      <c r="F1" s="91" t="s">
        <v>15</v>
      </c>
      <c r="G1" s="91" t="s">
        <v>68</v>
      </c>
      <c r="H1" s="91" t="s">
        <v>69</v>
      </c>
      <c r="I1" s="91" t="s">
        <v>547</v>
      </c>
      <c r="J1" s="85"/>
      <c r="L1" s="92" t="s">
        <v>748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749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446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446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447</v>
      </c>
      <c r="M3" s="92"/>
      <c r="N3" s="92"/>
      <c r="O3" s="92"/>
      <c r="P3" s="92"/>
      <c r="Q3" s="92"/>
      <c r="R3" s="92"/>
      <c r="S3" s="92"/>
      <c r="T3" s="92" t="s">
        <v>456</v>
      </c>
      <c r="U3" s="92"/>
      <c r="V3" s="92"/>
      <c r="W3" s="92"/>
      <c r="X3" s="92"/>
      <c r="Y3" s="92"/>
      <c r="Z3" s="92"/>
      <c r="AA3" s="10" t="s">
        <v>464</v>
      </c>
      <c r="AB3" s="92" t="s">
        <v>466</v>
      </c>
      <c r="AC3" s="92"/>
      <c r="AD3" s="92" t="s">
        <v>469</v>
      </c>
      <c r="AE3" s="92"/>
      <c r="AF3" s="92"/>
      <c r="AG3" s="92"/>
      <c r="AI3" s="92" t="s">
        <v>447</v>
      </c>
      <c r="AJ3" s="92"/>
      <c r="AK3" s="92"/>
      <c r="AL3" s="92"/>
      <c r="AM3" s="92"/>
      <c r="AN3" s="92"/>
      <c r="AO3" s="92"/>
      <c r="AP3" s="92"/>
      <c r="AQ3" s="92" t="s">
        <v>456</v>
      </c>
      <c r="AR3" s="92"/>
      <c r="AS3" s="92"/>
      <c r="AT3" s="92"/>
      <c r="AU3" s="92"/>
      <c r="AV3" s="92"/>
      <c r="AW3" s="92"/>
      <c r="AX3" s="10" t="s">
        <v>464</v>
      </c>
      <c r="AY3" s="92" t="s">
        <v>466</v>
      </c>
      <c r="AZ3" s="92"/>
      <c r="BA3" s="92" t="s">
        <v>469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532</v>
      </c>
      <c r="M4" s="10" t="s">
        <v>448</v>
      </c>
      <c r="N4" s="10" t="s">
        <v>449</v>
      </c>
      <c r="O4" s="10" t="s">
        <v>450</v>
      </c>
      <c r="P4" s="10" t="s">
        <v>451</v>
      </c>
      <c r="Q4" s="10" t="s">
        <v>452</v>
      </c>
      <c r="R4" s="10" t="s">
        <v>453</v>
      </c>
      <c r="S4" s="10" t="s">
        <v>454</v>
      </c>
      <c r="T4" s="10" t="s">
        <v>457</v>
      </c>
      <c r="U4" s="10" t="s">
        <v>458</v>
      </c>
      <c r="V4" s="10" t="s">
        <v>459</v>
      </c>
      <c r="W4" s="10" t="s">
        <v>460</v>
      </c>
      <c r="X4" s="10" t="s">
        <v>461</v>
      </c>
      <c r="Y4" s="10" t="s">
        <v>462</v>
      </c>
      <c r="Z4" s="10" t="s">
        <v>463</v>
      </c>
      <c r="AA4" s="10" t="s">
        <v>465</v>
      </c>
      <c r="AB4" s="10" t="s">
        <v>467</v>
      </c>
      <c r="AC4" s="10" t="s">
        <v>468</v>
      </c>
      <c r="AD4" s="10" t="s">
        <v>470</v>
      </c>
      <c r="AE4" s="10" t="s">
        <v>471</v>
      </c>
      <c r="AF4" s="10" t="s">
        <v>472</v>
      </c>
      <c r="AG4" s="10" t="s">
        <v>473</v>
      </c>
      <c r="AI4" s="10" t="s">
        <v>532</v>
      </c>
      <c r="AJ4" s="10" t="s">
        <v>448</v>
      </c>
      <c r="AK4" s="10" t="s">
        <v>449</v>
      </c>
      <c r="AL4" s="10" t="s">
        <v>450</v>
      </c>
      <c r="AM4" s="10" t="s">
        <v>451</v>
      </c>
      <c r="AN4" s="10" t="s">
        <v>452</v>
      </c>
      <c r="AO4" s="10" t="s">
        <v>453</v>
      </c>
      <c r="AP4" s="10" t="s">
        <v>454</v>
      </c>
      <c r="AQ4" s="10" t="s">
        <v>457</v>
      </c>
      <c r="AR4" s="10" t="s">
        <v>458</v>
      </c>
      <c r="AS4" s="10" t="s">
        <v>459</v>
      </c>
      <c r="AT4" s="10" t="s">
        <v>460</v>
      </c>
      <c r="AU4" s="10" t="s">
        <v>461</v>
      </c>
      <c r="AV4" s="10" t="s">
        <v>462</v>
      </c>
      <c r="AW4" s="10" t="s">
        <v>463</v>
      </c>
      <c r="AX4" s="10" t="s">
        <v>465</v>
      </c>
      <c r="AY4" s="10" t="s">
        <v>467</v>
      </c>
      <c r="AZ4" s="10" t="s">
        <v>468</v>
      </c>
      <c r="BA4" s="10" t="s">
        <v>470</v>
      </c>
      <c r="BB4" s="10" t="s">
        <v>471</v>
      </c>
      <c r="BC4" s="10" t="s">
        <v>472</v>
      </c>
      <c r="BD4" s="10" t="s">
        <v>473</v>
      </c>
    </row>
    <row r="5" spans="1:56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7071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29.508489920701646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75.762832049327812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32.552969207073602</v>
      </c>
      <c r="AV5" s="13">
        <v>0</v>
      </c>
      <c r="AW5" s="13">
        <v>0</v>
      </c>
      <c r="AX5" s="13">
        <v>76.159307770618895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43762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16.985797428656454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20.736052642424973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13.200026908692699</v>
      </c>
      <c r="AV6" s="13">
        <v>0</v>
      </c>
      <c r="AW6" s="13">
        <v>0</v>
      </c>
      <c r="AX6" s="13">
        <v>21.281161958173801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72</v>
      </c>
      <c r="I7" s="24">
        <f>'MERCADO TUSD'!$U$4</f>
        <v>16484.504999999997</v>
      </c>
      <c r="J7" s="15"/>
      <c r="L7" s="13">
        <f>('TUSD BE'!$L$7+'TUSD BF'!$L$7+'TUSD CVA'!$L$7)*1</f>
        <v>0</v>
      </c>
      <c r="M7" s="13">
        <f>('TUSD BE'!$M$7+'TUSD BF'!$M$7+'TUSD CVA'!$M$7)*1</f>
        <v>0.47230462615303903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74.110242457433216</v>
      </c>
      <c r="R7" s="13">
        <f>('TUSD BE'!$R$7+'TUSD BF'!$R$7+'TUSD CVA'!$R$7)*1</f>
        <v>13.92323680420858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6.0119108773734125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0.43762319384496201</v>
      </c>
      <c r="AK7" s="13">
        <v>0</v>
      </c>
      <c r="AL7" s="13">
        <v>0</v>
      </c>
      <c r="AM7" s="13">
        <v>0</v>
      </c>
      <c r="AN7" s="13">
        <v>45.212051348574001</v>
      </c>
      <c r="AO7" s="13">
        <v>8.2349714258950808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6.4908644283739401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72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0.47230462615303903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6.0119108773734125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0.43762319384496201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6.4908644283739401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1.1719128334046619E-2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11.573353444651556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1.01359004598723E-2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9.6278701709725603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285157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16.985797428656454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20.736052642424973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13.200026908692699</v>
      </c>
      <c r="AV10" s="13">
        <v>0</v>
      </c>
      <c r="AW10" s="13">
        <v>0</v>
      </c>
      <c r="AX10" s="13">
        <v>21.281161958173801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5"/>
      <c r="B11" s="95"/>
      <c r="C11" s="95"/>
      <c r="D11" s="95"/>
      <c r="E11" s="95"/>
      <c r="F11" s="95"/>
      <c r="G11" s="24" t="s">
        <v>73</v>
      </c>
      <c r="H11" s="24" t="s">
        <v>72</v>
      </c>
      <c r="I11" s="24">
        <f>'MERCADO TUSD'!$U$8</f>
        <v>1168.712</v>
      </c>
      <c r="J11" s="15"/>
      <c r="L11" s="13">
        <f>('TUSD BE'!$L$11+'TUSD BF'!$L$11+'TUSD CVA'!$L$11)*1</f>
        <v>0</v>
      </c>
      <c r="M11" s="13">
        <f>('TUSD BE'!$M$11+'TUSD BF'!$M$11+'TUSD CVA'!$M$11)*1</f>
        <v>0.47230462615303903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74.110242457433216</v>
      </c>
      <c r="R11" s="13">
        <f>('TUSD BE'!$R$11+'TUSD BF'!$R$11+'TUSD CVA'!$R$11)*1</f>
        <v>13.92323680420858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710.06699608008512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1822.0948303732584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6.0119108773734125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0.43762319384496201</v>
      </c>
      <c r="AK11" s="13">
        <v>0</v>
      </c>
      <c r="AL11" s="13">
        <v>0</v>
      </c>
      <c r="AM11" s="13">
        <v>0</v>
      </c>
      <c r="AN11" s="13">
        <v>45.212051348574001</v>
      </c>
      <c r="AO11" s="13">
        <v>8.2349714258950808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784.16276929436697</v>
      </c>
      <c r="AV11" s="13">
        <v>0</v>
      </c>
      <c r="AW11" s="13">
        <v>0</v>
      </c>
      <c r="AX11" s="13">
        <v>1831.6258171271199</v>
      </c>
      <c r="AY11" s="13">
        <v>0</v>
      </c>
      <c r="AZ11" s="13">
        <v>0</v>
      </c>
      <c r="BA11" s="13">
        <v>6.4908644283739401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5"/>
      <c r="B12" s="95"/>
      <c r="C12" s="95"/>
      <c r="D12" s="95"/>
      <c r="E12" s="95"/>
      <c r="F12" s="95"/>
      <c r="G12" s="24" t="s">
        <v>74</v>
      </c>
      <c r="H12" s="24" t="s">
        <v>72</v>
      </c>
      <c r="I12" s="24">
        <f>'MERCADO TUSD'!$U$9</f>
        <v>72731.370999999999</v>
      </c>
      <c r="J12" s="15"/>
      <c r="L12" s="13">
        <f>('TUSD BE'!$L$12+'TUSD BF'!$L$12+'TUSD CVA'!$L$12)*1</f>
        <v>0</v>
      </c>
      <c r="M12" s="13">
        <f>('TUSD BE'!$M$12+'TUSD BF'!$M$12+'TUSD CVA'!$M$12)*1</f>
        <v>0.47230462615303903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74.110242457433216</v>
      </c>
      <c r="R12" s="13">
        <f>('TUSD BE'!$R$12+'TUSD BF'!$R$12+'TUSD CVA'!$R$12)*1</f>
        <v>13.92323680420858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6.0119108773734125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0.43762319384496201</v>
      </c>
      <c r="AK12" s="13">
        <v>0</v>
      </c>
      <c r="AL12" s="13">
        <v>0</v>
      </c>
      <c r="AM12" s="13">
        <v>0</v>
      </c>
      <c r="AN12" s="13">
        <v>45.212051348574001</v>
      </c>
      <c r="AO12" s="13">
        <v>8.2349714258950808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6.4908644283739401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0.47230462615303903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710.06699608008512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1822.0948303732584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6.0119108773734125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0.43762319384496201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784.16276929436697</v>
      </c>
      <c r="AV13" s="13">
        <v>0</v>
      </c>
      <c r="AW13" s="13">
        <v>0</v>
      </c>
      <c r="AX13" s="13">
        <v>1831.6258171271199</v>
      </c>
      <c r="AY13" s="13">
        <v>0</v>
      </c>
      <c r="AZ13" s="13">
        <v>0</v>
      </c>
      <c r="BA13" s="13">
        <v>6.4908644283739401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5"/>
      <c r="B14" s="95"/>
      <c r="C14" s="95"/>
      <c r="D14" s="95"/>
      <c r="E14" s="95"/>
      <c r="F14" s="95"/>
      <c r="G14" s="24" t="s">
        <v>74</v>
      </c>
      <c r="H14" s="24" t="s">
        <v>72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0.47230462615303903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6.0119108773734125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0.43762319384496201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6.4908644283739401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6.7109538323172954E-3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6.6480311479807934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1.04073977936189E-2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9.9306169956787702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6.7109538323172954E-3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19.787914663882344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1.04073977936189E-2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20.204996882528601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5" t="s">
        <v>22</v>
      </c>
      <c r="B17" s="95" t="s">
        <v>41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1.674699727162458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88.226479115991921</v>
      </c>
      <c r="R17" s="13">
        <f>('TUSD BE'!$R$17+'TUSD BF'!$R$17+'TUSD CVA'!$R$17)*1</f>
        <v>13.92323680420858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275.67255928855201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1005.0935974984108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12.000057231219005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1.2792792924276299</v>
      </c>
      <c r="AK17" s="13">
        <v>0</v>
      </c>
      <c r="AL17" s="13">
        <v>0</v>
      </c>
      <c r="AM17" s="13">
        <v>0</v>
      </c>
      <c r="AN17" s="13">
        <v>51.9678751133034</v>
      </c>
      <c r="AO17" s="13">
        <v>8.2349714258950808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287.03378493561502</v>
      </c>
      <c r="AV17" s="13">
        <v>0</v>
      </c>
      <c r="AW17" s="13">
        <v>0</v>
      </c>
      <c r="AX17" s="13">
        <v>855.78912832341905</v>
      </c>
      <c r="AY17" s="13">
        <v>0</v>
      </c>
      <c r="AZ17" s="13">
        <v>0</v>
      </c>
      <c r="BA17" s="13">
        <v>16.8116968858983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72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1.674699727162458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88.226479115991921</v>
      </c>
      <c r="R18" s="13">
        <f>('TUSD BE'!$R$18+'TUSD BF'!$R$18+'TUSD CVA'!$R$18)*1</f>
        <v>13.92323680420858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165.43820046584273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603.05622172932181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12.000057231219005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1.2792792924276299</v>
      </c>
      <c r="AK18" s="13">
        <v>0</v>
      </c>
      <c r="AL18" s="13">
        <v>0</v>
      </c>
      <c r="AM18" s="13">
        <v>0</v>
      </c>
      <c r="AN18" s="13">
        <v>51.9678751133034</v>
      </c>
      <c r="AO18" s="13">
        <v>8.2349714258950808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172.23075220903499</v>
      </c>
      <c r="AV18" s="13">
        <v>0</v>
      </c>
      <c r="AW18" s="13">
        <v>0</v>
      </c>
      <c r="AX18" s="13">
        <v>513.473476994051</v>
      </c>
      <c r="AY18" s="13">
        <v>0</v>
      </c>
      <c r="AZ18" s="13">
        <v>0</v>
      </c>
      <c r="BA18" s="13">
        <v>16.8116968858983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5"/>
      <c r="B19" s="95"/>
      <c r="C19" s="95"/>
      <c r="D19" s="95"/>
      <c r="E19" s="95"/>
      <c r="F19" s="95"/>
      <c r="G19" s="24" t="s">
        <v>74</v>
      </c>
      <c r="H19" s="24" t="s">
        <v>72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1.674699727162458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88.226479115991921</v>
      </c>
      <c r="R19" s="13">
        <f>('TUSD BE'!$R$19+'TUSD BF'!$R$19+'TUSD CVA'!$R$19)*1</f>
        <v>13.92323680420858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55.160510527244057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201.01852980885619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12.000057231219005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1.2792792924276299</v>
      </c>
      <c r="AK19" s="13">
        <v>0</v>
      </c>
      <c r="AL19" s="13">
        <v>0</v>
      </c>
      <c r="AM19" s="13">
        <v>0</v>
      </c>
      <c r="AN19" s="13">
        <v>51.9678751133034</v>
      </c>
      <c r="AO19" s="13">
        <v>8.2349714258950808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57.427836985230698</v>
      </c>
      <c r="AV19" s="13">
        <v>0</v>
      </c>
      <c r="AW19" s="13">
        <v>0</v>
      </c>
      <c r="AX19" s="13">
        <v>171.15753613950901</v>
      </c>
      <c r="AY19" s="13">
        <v>0</v>
      </c>
      <c r="AZ19" s="13">
        <v>0</v>
      </c>
      <c r="BA19" s="13">
        <v>16.8116968858983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72</v>
      </c>
      <c r="I20" s="24">
        <f>'MERCADO TUSD'!$U$17</f>
        <v>30172.235000000001</v>
      </c>
      <c r="J20" s="15"/>
      <c r="L20" s="13">
        <f>('TUSD BE'!$L$20+'TUSD BF'!$L$20+'TUSD CVA'!$L$20)*1</f>
        <v>0</v>
      </c>
      <c r="M20" s="13">
        <f>('TUSD BE'!$M$20+'TUSD BF'!$M$20+'TUSD CVA'!$M$20)*1</f>
        <v>1.674699727162458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88.226479115991921</v>
      </c>
      <c r="R20" s="13">
        <f>('TUSD BE'!$R$20+'TUSD BF'!$R$20+'TUSD CVA'!$R$20)*1</f>
        <v>13.92323680420858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102.13144015138589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372.25686454375386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12.000057231219005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1.2792792924276299</v>
      </c>
      <c r="AK20" s="13">
        <v>0</v>
      </c>
      <c r="AL20" s="13">
        <v>0</v>
      </c>
      <c r="AM20" s="13">
        <v>0</v>
      </c>
      <c r="AN20" s="13">
        <v>51.9678751133034</v>
      </c>
      <c r="AO20" s="13">
        <v>8.2349714258950808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106.230970173901</v>
      </c>
      <c r="AV20" s="13">
        <v>0</v>
      </c>
      <c r="AW20" s="13">
        <v>0</v>
      </c>
      <c r="AX20" s="13">
        <v>316.95903649885798</v>
      </c>
      <c r="AY20" s="13">
        <v>0</v>
      </c>
      <c r="AZ20" s="13">
        <v>0</v>
      </c>
      <c r="BA20" s="13">
        <v>16.8116968858983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72</v>
      </c>
      <c r="I21" s="24">
        <f>'MERCADO TUSD'!$U$18</f>
        <v>191.77800000000005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0.5861449045068603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35.746004052985057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130.28990259031386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4.2000200309266518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0.44774775234967001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37.180839560865202</v>
      </c>
      <c r="AV21" s="13">
        <v>0</v>
      </c>
      <c r="AW21" s="13">
        <v>0</v>
      </c>
      <c r="AX21" s="13">
        <v>110.9356627746</v>
      </c>
      <c r="AY21" s="13">
        <v>0</v>
      </c>
      <c r="AZ21" s="13">
        <v>0</v>
      </c>
      <c r="BA21" s="13">
        <v>5.8840939100644096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72</v>
      </c>
      <c r="I22" s="24">
        <f>'MERCADO TUSD'!$U$19</f>
        <v>421.79500000000002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1.0048198362974747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61.278864090831533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223.35411872625232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7.2000343387314025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0.76756757545657806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63.738582104340303</v>
      </c>
      <c r="AV22" s="13">
        <v>0</v>
      </c>
      <c r="AW22" s="13">
        <v>0</v>
      </c>
      <c r="AX22" s="13">
        <v>190.17542189931501</v>
      </c>
      <c r="AY22" s="13">
        <v>0</v>
      </c>
      <c r="AZ22" s="13">
        <v>0</v>
      </c>
      <c r="BA22" s="13">
        <v>10.087018131539001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72</v>
      </c>
      <c r="I23" s="24">
        <f>'MERCADO TUSD'!$U$20</f>
        <v>486.94200000000001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1.5072297544462121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91.918296136247307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335.0311780893785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10.800051508097104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1.15135136318487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95.607873156510493</v>
      </c>
      <c r="AV23" s="13">
        <v>0</v>
      </c>
      <c r="AW23" s="13">
        <v>0</v>
      </c>
      <c r="AX23" s="13">
        <v>285.26313284897202</v>
      </c>
      <c r="AY23" s="13">
        <v>0</v>
      </c>
      <c r="AZ23" s="13">
        <v>0</v>
      </c>
      <c r="BA23" s="13">
        <v>15.130527197308499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72</v>
      </c>
      <c r="I24" s="24">
        <f>'MERCADO TUSD'!$U$21</f>
        <v>233.18899999999999</v>
      </c>
      <c r="J24" s="15"/>
      <c r="L24" s="13">
        <f>('TUSD BE'!$L$24+'TUSD BF'!$L$24+'TUSD CVA'!$L$24)*1</f>
        <v>0</v>
      </c>
      <c r="M24" s="13">
        <f>('TUSD BE'!$M$24+'TUSD BF'!$M$24+'TUSD CVA'!$M$24)*1</f>
        <v>1.674699727162458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102.13144015138589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372.25686454375386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12.000057231219005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1.2792792924276299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106.230970173901</v>
      </c>
      <c r="AV24" s="13">
        <v>0</v>
      </c>
      <c r="AW24" s="13">
        <v>0</v>
      </c>
      <c r="AX24" s="13">
        <v>316.95903649885798</v>
      </c>
      <c r="AY24" s="13">
        <v>0</v>
      </c>
      <c r="AZ24" s="13">
        <v>0</v>
      </c>
      <c r="BA24" s="13">
        <v>16.8116968858983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72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1.674699727162458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88.226479115991921</v>
      </c>
      <c r="R25" s="13">
        <f>('TUSD BE'!$R$25+'TUSD BF'!$R$25+'TUSD CVA'!$R$25)*1</f>
        <v>13.92323680420858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102.13144015138589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372.25686454375386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12.000057231219005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1.2792792924276299</v>
      </c>
      <c r="AK25" s="13">
        <v>0</v>
      </c>
      <c r="AL25" s="13">
        <v>0</v>
      </c>
      <c r="AM25" s="13">
        <v>0</v>
      </c>
      <c r="AN25" s="13">
        <v>51.9678751133034</v>
      </c>
      <c r="AO25" s="13">
        <v>8.2349714258950808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106.230970173901</v>
      </c>
      <c r="AV25" s="13">
        <v>0</v>
      </c>
      <c r="AW25" s="13">
        <v>0</v>
      </c>
      <c r="AX25" s="13">
        <v>316.95903649885798</v>
      </c>
      <c r="AY25" s="13">
        <v>0</v>
      </c>
      <c r="AZ25" s="13">
        <v>0</v>
      </c>
      <c r="BA25" s="13">
        <v>16.8116968858983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72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0.5861449045068603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35.746004052985057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130.28990259031386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4.2000200309266518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0.44774775234967001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37.180839560865202</v>
      </c>
      <c r="AV26" s="13">
        <v>0</v>
      </c>
      <c r="AW26" s="13">
        <v>0</v>
      </c>
      <c r="AX26" s="13">
        <v>110.9356627746</v>
      </c>
      <c r="AY26" s="13">
        <v>0</v>
      </c>
      <c r="AZ26" s="13">
        <v>0</v>
      </c>
      <c r="BA26" s="13">
        <v>5.8840939100644096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72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1.0048198362974747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61.278864090831533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223.35411872625232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7.2000343387314025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0.76756757545657806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63.738582104340303</v>
      </c>
      <c r="AV27" s="13">
        <v>0</v>
      </c>
      <c r="AW27" s="13">
        <v>0</v>
      </c>
      <c r="AX27" s="13">
        <v>190.17542189931501</v>
      </c>
      <c r="AY27" s="13">
        <v>0</v>
      </c>
      <c r="AZ27" s="13">
        <v>0</v>
      </c>
      <c r="BA27" s="13">
        <v>10.087018131539001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72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1.5072297544462121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91.918296136247307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335.0311780893785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10.800051508097104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1.15135136318487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95.607873156510493</v>
      </c>
      <c r="AV28" s="13">
        <v>0</v>
      </c>
      <c r="AW28" s="13">
        <v>0</v>
      </c>
      <c r="AX28" s="13">
        <v>285.26313284897202</v>
      </c>
      <c r="AY28" s="13">
        <v>0</v>
      </c>
      <c r="AZ28" s="13">
        <v>0</v>
      </c>
      <c r="BA28" s="13">
        <v>15.130527197308499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72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1.674699727162458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102.13144015138589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372.25686454375386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12.000057231219005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1.2792792924276299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106.230970173901</v>
      </c>
      <c r="AV29" s="13">
        <v>0</v>
      </c>
      <c r="AW29" s="13">
        <v>0</v>
      </c>
      <c r="AX29" s="13">
        <v>316.95903649885798</v>
      </c>
      <c r="AY29" s="13">
        <v>0</v>
      </c>
      <c r="AZ29" s="13">
        <v>0</v>
      </c>
      <c r="BA29" s="13">
        <v>16.8116968858983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5" t="s">
        <v>43</v>
      </c>
      <c r="B30" s="95" t="s">
        <v>41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1.5742177435327105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82.932890369032407</v>
      </c>
      <c r="R30" s="13">
        <f>('TUSD BE'!$R$30+'TUSD BF'!$R$30+'TUSD CVA'!$R$30)*(1 - CUSTOS!$M$38)</f>
        <v>13.087842595956065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283.16364260351656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1032.2683448162884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11.280053797345865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1.1257657773363099</v>
      </c>
      <c r="AK30" s="13">
        <v>0</v>
      </c>
      <c r="AL30" s="13">
        <v>0</v>
      </c>
      <c r="AM30" s="13">
        <v>0</v>
      </c>
      <c r="AN30" s="13">
        <v>45.731730099707001</v>
      </c>
      <c r="AO30" s="13">
        <v>7.2467748547876703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275.91421988698397</v>
      </c>
      <c r="AV30" s="13">
        <v>0</v>
      </c>
      <c r="AW30" s="13">
        <v>0</v>
      </c>
      <c r="AX30" s="13">
        <v>822.82550588174195</v>
      </c>
      <c r="AY30" s="13">
        <v>0</v>
      </c>
      <c r="AZ30" s="13">
        <v>0</v>
      </c>
      <c r="BA30" s="13">
        <v>14.7942932595905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72</v>
      </c>
      <c r="I31" s="24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1.5742177435327105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82.932890369032407</v>
      </c>
      <c r="R31" s="13">
        <f>('TUSD BE'!$R$31+'TUSD BF'!$R$31+'TUSD CVA'!$R$31)*(1 - CUSTOS!$M$38)</f>
        <v>13.087842595956065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169.84930806338664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619.36118519914942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11.280053797345865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1.1257657773363099</v>
      </c>
      <c r="AK31" s="13">
        <v>0</v>
      </c>
      <c r="AL31" s="13">
        <v>0</v>
      </c>
      <c r="AM31" s="13">
        <v>0</v>
      </c>
      <c r="AN31" s="13">
        <v>45.731730099707001</v>
      </c>
      <c r="AO31" s="13">
        <v>7.2467748547876703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165.53924639277901</v>
      </c>
      <c r="AV31" s="13">
        <v>0</v>
      </c>
      <c r="AW31" s="13">
        <v>0</v>
      </c>
      <c r="AX31" s="13">
        <v>493.69503176141399</v>
      </c>
      <c r="AY31" s="13">
        <v>0</v>
      </c>
      <c r="AZ31" s="13">
        <v>0</v>
      </c>
      <c r="BA31" s="13">
        <v>14.7942932595905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5"/>
      <c r="B32" s="95"/>
      <c r="C32" s="95"/>
      <c r="D32" s="95"/>
      <c r="E32" s="95"/>
      <c r="F32" s="95"/>
      <c r="G32" s="24" t="s">
        <v>74</v>
      </c>
      <c r="H32" s="24" t="s">
        <v>72</v>
      </c>
      <c r="I32" s="24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1.5742177435327105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82.932890369032407</v>
      </c>
      <c r="R32" s="13">
        <f>('TUSD BE'!$R$32+'TUSD BF'!$R$32+'TUSD CVA'!$R$32)*(1 - CUSTOS!$M$38)</f>
        <v>13.087842595956065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56.657167270064946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206.45372839971645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11.280053797345865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1.1257657773363099</v>
      </c>
      <c r="AK32" s="13">
        <v>0</v>
      </c>
      <c r="AL32" s="13">
        <v>0</v>
      </c>
      <c r="AM32" s="13">
        <v>0</v>
      </c>
      <c r="AN32" s="13">
        <v>45.731730099707001</v>
      </c>
      <c r="AO32" s="13">
        <v>7.2467748547876703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55.164376301016702</v>
      </c>
      <c r="AV32" s="13">
        <v>0</v>
      </c>
      <c r="AW32" s="13">
        <v>0</v>
      </c>
      <c r="AX32" s="13">
        <v>164.565067205394</v>
      </c>
      <c r="AY32" s="13">
        <v>0</v>
      </c>
      <c r="AZ32" s="13">
        <v>0</v>
      </c>
      <c r="BA32" s="13">
        <v>14.7942932595905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72</v>
      </c>
      <c r="I33" s="24">
        <f>'MERCADO TUSD'!$U$30</f>
        <v>3201.45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1.5742177435327105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82.932890369032407</v>
      </c>
      <c r="R33" s="13">
        <f>('TUSD BE'!$R$33+'TUSD BF'!$R$33+'TUSD CVA'!$R$33)*(1 - CUSTOS!$M$38)</f>
        <v>13.087842595956065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96.003553742302728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349.92145267112863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11.280053797345865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1.1257657773363099</v>
      </c>
      <c r="AK33" s="13">
        <v>0</v>
      </c>
      <c r="AL33" s="13">
        <v>0</v>
      </c>
      <c r="AM33" s="13">
        <v>0</v>
      </c>
      <c r="AN33" s="13">
        <v>45.731730099707001</v>
      </c>
      <c r="AO33" s="13">
        <v>7.2467748547876703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93.4832537530325</v>
      </c>
      <c r="AV33" s="13">
        <v>0</v>
      </c>
      <c r="AW33" s="13">
        <v>0</v>
      </c>
      <c r="AX33" s="13">
        <v>278.92395211899498</v>
      </c>
      <c r="AY33" s="13">
        <v>0</v>
      </c>
      <c r="AZ33" s="13">
        <v>0</v>
      </c>
      <c r="BA33" s="13">
        <v>14.7942932595905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5"/>
      <c r="B34" s="95" t="s">
        <v>41</v>
      </c>
      <c r="C34" s="95" t="s">
        <v>44</v>
      </c>
      <c r="D34" s="95" t="s">
        <v>88</v>
      </c>
      <c r="E34" s="95" t="s">
        <v>25</v>
      </c>
      <c r="F34" s="95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1.5742177435327105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82.932890369032407</v>
      </c>
      <c r="R34" s="13">
        <f>('TUSD BE'!$R$34+'TUSD BF'!$R$34+'TUSD CVA'!$R$34)*(1 - CUSTOS!$M$39)</f>
        <v>13.087842595956065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283.16364260351656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1032.2683448162884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11.280053797345865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1.1257657773363099</v>
      </c>
      <c r="AK34" s="13">
        <v>0</v>
      </c>
      <c r="AL34" s="13">
        <v>0</v>
      </c>
      <c r="AM34" s="13">
        <v>0</v>
      </c>
      <c r="AN34" s="13">
        <v>45.731730099707001</v>
      </c>
      <c r="AO34" s="13">
        <v>7.2467748547876703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275.91421988698397</v>
      </c>
      <c r="AV34" s="13">
        <v>0</v>
      </c>
      <c r="AW34" s="13">
        <v>0</v>
      </c>
      <c r="AX34" s="13">
        <v>822.82550588174195</v>
      </c>
      <c r="AY34" s="13">
        <v>0</v>
      </c>
      <c r="AZ34" s="13">
        <v>0</v>
      </c>
      <c r="BA34" s="13">
        <v>14.7942932595905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72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1.5742177435327105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82.932890369032407</v>
      </c>
      <c r="R35" s="13">
        <f>('TUSD BE'!$R$35+'TUSD BF'!$R$35+'TUSD CVA'!$R$35)*(1 - CUSTOS!$M$39)</f>
        <v>13.087842595956065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169.84930806338664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619.36118519914942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11.280053797345865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1.1257657773363099</v>
      </c>
      <c r="AK35" s="13">
        <v>0</v>
      </c>
      <c r="AL35" s="13">
        <v>0</v>
      </c>
      <c r="AM35" s="13">
        <v>0</v>
      </c>
      <c r="AN35" s="13">
        <v>45.731730099707001</v>
      </c>
      <c r="AO35" s="13">
        <v>7.2467748547876703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165.53924639277901</v>
      </c>
      <c r="AV35" s="13">
        <v>0</v>
      </c>
      <c r="AW35" s="13">
        <v>0</v>
      </c>
      <c r="AX35" s="13">
        <v>493.69503176141399</v>
      </c>
      <c r="AY35" s="13">
        <v>0</v>
      </c>
      <c r="AZ35" s="13">
        <v>0</v>
      </c>
      <c r="BA35" s="13">
        <v>14.7942932595905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5"/>
      <c r="B36" s="95"/>
      <c r="C36" s="95"/>
      <c r="D36" s="95"/>
      <c r="E36" s="95"/>
      <c r="F36" s="95"/>
      <c r="G36" s="24" t="s">
        <v>74</v>
      </c>
      <c r="H36" s="24" t="s">
        <v>72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1.5742177435327105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82.932890369032407</v>
      </c>
      <c r="R36" s="13">
        <f>('TUSD BE'!$R$36+'TUSD BF'!$R$36+'TUSD CVA'!$R$36)*(1 - CUSTOS!$M$39)</f>
        <v>13.087842595956065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56.657167270064946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206.45372839971645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11.280053797345865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1.1257657773363099</v>
      </c>
      <c r="AK36" s="13">
        <v>0</v>
      </c>
      <c r="AL36" s="13">
        <v>0</v>
      </c>
      <c r="AM36" s="13">
        <v>0</v>
      </c>
      <c r="AN36" s="13">
        <v>45.731730099707001</v>
      </c>
      <c r="AO36" s="13">
        <v>7.2467748547876703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55.164376301016702</v>
      </c>
      <c r="AV36" s="13">
        <v>0</v>
      </c>
      <c r="AW36" s="13">
        <v>0</v>
      </c>
      <c r="AX36" s="13">
        <v>164.565067205394</v>
      </c>
      <c r="AY36" s="13">
        <v>0</v>
      </c>
      <c r="AZ36" s="13">
        <v>0</v>
      </c>
      <c r="BA36" s="13">
        <v>14.7942932595905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5"/>
      <c r="B37" s="23" t="s">
        <v>23</v>
      </c>
      <c r="C37" s="23" t="s">
        <v>44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72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1.5742177435327105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82.932890369032407</v>
      </c>
      <c r="R37" s="13">
        <f>('TUSD BE'!$R$37+'TUSD BF'!$R$37+'TUSD CVA'!$R$37)*(1 - CUSTOS!$M$39)</f>
        <v>13.087842595956065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96.003553742302728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349.92145267112863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11.280053797345865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1.1257657773363099</v>
      </c>
      <c r="AK37" s="13">
        <v>0</v>
      </c>
      <c r="AL37" s="13">
        <v>0</v>
      </c>
      <c r="AM37" s="13">
        <v>0</v>
      </c>
      <c r="AN37" s="13">
        <v>45.731730099707001</v>
      </c>
      <c r="AO37" s="13">
        <v>7.2467748547876703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93.4832537530325</v>
      </c>
      <c r="AV37" s="13">
        <v>0</v>
      </c>
      <c r="AW37" s="13">
        <v>0</v>
      </c>
      <c r="AX37" s="13">
        <v>278.92395211899498</v>
      </c>
      <c r="AY37" s="13">
        <v>0</v>
      </c>
      <c r="AZ37" s="13">
        <v>0</v>
      </c>
      <c r="BA37" s="13">
        <v>14.7942932595905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5"/>
      <c r="B38" s="95" t="s">
        <v>41</v>
      </c>
      <c r="C38" s="95" t="s">
        <v>44</v>
      </c>
      <c r="D38" s="95" t="s">
        <v>89</v>
      </c>
      <c r="E38" s="95" t="s">
        <v>25</v>
      </c>
      <c r="F38" s="95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1.5407237489894614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81.168360786712569</v>
      </c>
      <c r="R38" s="13">
        <f>('TUSD BE'!$R$38+'TUSD BF'!$R$38+'TUSD CVA'!$R$38)*(1 - CUSTOS!$M$40)</f>
        <v>12.809377859871894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277.13888425025027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1010.3051885436015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11.040052652721485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1.0745946056392099</v>
      </c>
      <c r="AK38" s="13">
        <v>0</v>
      </c>
      <c r="AL38" s="13">
        <v>0</v>
      </c>
      <c r="AM38" s="13">
        <v>0</v>
      </c>
      <c r="AN38" s="13">
        <v>43.653015095174901</v>
      </c>
      <c r="AO38" s="13">
        <v>6.9173759977518703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263.37266443757602</v>
      </c>
      <c r="AV38" s="13">
        <v>0</v>
      </c>
      <c r="AW38" s="13">
        <v>0</v>
      </c>
      <c r="AX38" s="13">
        <v>785.42434652348095</v>
      </c>
      <c r="AY38" s="13">
        <v>0</v>
      </c>
      <c r="AZ38" s="13">
        <v>0</v>
      </c>
      <c r="BA38" s="13">
        <v>14.121825384154601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72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1.5407237489894614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81.168360786712569</v>
      </c>
      <c r="R39" s="13">
        <f>('TUSD BE'!$R$39+'TUSD BF'!$R$39+'TUSD CVA'!$R$39)*(1 - CUSTOS!$M$40)</f>
        <v>12.809377859871894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166.23549299820823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606.18328764172077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11.040052652721485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1.0745946056392099</v>
      </c>
      <c r="AK39" s="13">
        <v>0</v>
      </c>
      <c r="AL39" s="13">
        <v>0</v>
      </c>
      <c r="AM39" s="13">
        <v>0</v>
      </c>
      <c r="AN39" s="13">
        <v>43.653015095174901</v>
      </c>
      <c r="AO39" s="13">
        <v>6.9173759977518703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158.01473519310699</v>
      </c>
      <c r="AV39" s="13">
        <v>0</v>
      </c>
      <c r="AW39" s="13">
        <v>0</v>
      </c>
      <c r="AX39" s="13">
        <v>471.254348499532</v>
      </c>
      <c r="AY39" s="13">
        <v>0</v>
      </c>
      <c r="AZ39" s="13">
        <v>0</v>
      </c>
      <c r="BA39" s="13">
        <v>14.121825384154601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5"/>
      <c r="B40" s="95"/>
      <c r="C40" s="95"/>
      <c r="D40" s="95"/>
      <c r="E40" s="95"/>
      <c r="F40" s="95"/>
      <c r="G40" s="24" t="s">
        <v>74</v>
      </c>
      <c r="H40" s="24" t="s">
        <v>72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1.5407237489894614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81.168360786712569</v>
      </c>
      <c r="R40" s="13">
        <f>('TUSD BE'!$R$40+'TUSD BF'!$R$40+'TUSD CVA'!$R$40)*(1 - CUSTOS!$M$40)</f>
        <v>12.809377859871894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55.451695626021021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202.06109588057359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11.040052652721485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1.0745946056392099</v>
      </c>
      <c r="AK40" s="13">
        <v>0</v>
      </c>
      <c r="AL40" s="13">
        <v>0</v>
      </c>
      <c r="AM40" s="13">
        <v>0</v>
      </c>
      <c r="AN40" s="13">
        <v>43.653015095174901</v>
      </c>
      <c r="AO40" s="13">
        <v>6.9173759977518703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52.656904650970503</v>
      </c>
      <c r="AV40" s="13">
        <v>0</v>
      </c>
      <c r="AW40" s="13">
        <v>0</v>
      </c>
      <c r="AX40" s="13">
        <v>157.084836877877</v>
      </c>
      <c r="AY40" s="13">
        <v>0</v>
      </c>
      <c r="AZ40" s="13">
        <v>0</v>
      </c>
      <c r="BA40" s="13">
        <v>14.121825384154601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5"/>
      <c r="B41" s="23" t="s">
        <v>23</v>
      </c>
      <c r="C41" s="23" t="s">
        <v>44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72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1.5407237489894614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81.168360786712569</v>
      </c>
      <c r="R41" s="13">
        <f>('TUSD BE'!$R$41+'TUSD BF'!$R$41+'TUSD CVA'!$R$41)*(1 - CUSTOS!$M$40)</f>
        <v>12.809377859871894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93.960924939275017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342.4763153802536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11.040052652721485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1.0745946056392099</v>
      </c>
      <c r="AK41" s="13">
        <v>0</v>
      </c>
      <c r="AL41" s="13">
        <v>0</v>
      </c>
      <c r="AM41" s="13">
        <v>0</v>
      </c>
      <c r="AN41" s="13">
        <v>43.653015095174901</v>
      </c>
      <c r="AO41" s="13">
        <v>6.9173759977518703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89.234014946076499</v>
      </c>
      <c r="AV41" s="13">
        <v>0</v>
      </c>
      <c r="AW41" s="13">
        <v>0</v>
      </c>
      <c r="AX41" s="13">
        <v>266.24559065903998</v>
      </c>
      <c r="AY41" s="13">
        <v>0</v>
      </c>
      <c r="AZ41" s="13">
        <v>0</v>
      </c>
      <c r="BA41" s="13">
        <v>14.121825384154601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5"/>
      <c r="B42" s="95" t="s">
        <v>87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72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1.5742177435327105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82.932890369032407</v>
      </c>
      <c r="R42" s="13">
        <f>('TUSD BE'!$R$42+'TUSD BF'!$R$42+'TUSD CVA'!$R$42)*(1 - CUSTOS!$M$38)</f>
        <v>13.087842595956065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96.003553742302728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349.92145267112863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11.280053797345865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1.1257657773363099</v>
      </c>
      <c r="AK42" s="13">
        <v>0</v>
      </c>
      <c r="AL42" s="13">
        <v>0</v>
      </c>
      <c r="AM42" s="13">
        <v>0</v>
      </c>
      <c r="AN42" s="13">
        <v>45.731730099707001</v>
      </c>
      <c r="AO42" s="13">
        <v>7.2467748547876703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93.4832537530325</v>
      </c>
      <c r="AV42" s="13">
        <v>0</v>
      </c>
      <c r="AW42" s="13">
        <v>0</v>
      </c>
      <c r="AX42" s="13">
        <v>278.92395211899498</v>
      </c>
      <c r="AY42" s="13">
        <v>0</v>
      </c>
      <c r="AZ42" s="13">
        <v>0</v>
      </c>
      <c r="BA42" s="13">
        <v>14.7942932595905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72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1.5742177435327105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82.932890369032407</v>
      </c>
      <c r="R43" s="13">
        <f>('TUSD BE'!$R$43+'TUSD BF'!$R$43+'TUSD CVA'!$R$43)*(1 - CUSTOS!$M$39)</f>
        <v>13.087842595956065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96.003553742302728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349.92145267112863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11.280053797345865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1.1257657773363099</v>
      </c>
      <c r="AK43" s="13">
        <v>0</v>
      </c>
      <c r="AL43" s="13">
        <v>0</v>
      </c>
      <c r="AM43" s="13">
        <v>0</v>
      </c>
      <c r="AN43" s="13">
        <v>45.731730099707001</v>
      </c>
      <c r="AO43" s="13">
        <v>7.2467748547876703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93.4832537530325</v>
      </c>
      <c r="AV43" s="13">
        <v>0</v>
      </c>
      <c r="AW43" s="13">
        <v>0</v>
      </c>
      <c r="AX43" s="13">
        <v>278.92395211899498</v>
      </c>
      <c r="AY43" s="13">
        <v>0</v>
      </c>
      <c r="AZ43" s="13">
        <v>0</v>
      </c>
      <c r="BA43" s="13">
        <v>14.7942932595905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72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1.5407237489894614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81.168360786712569</v>
      </c>
      <c r="R44" s="13">
        <f>('TUSD BE'!$R$44+'TUSD BF'!$R$44+'TUSD CVA'!$R$44)*(1 - CUSTOS!$M$40)</f>
        <v>12.809377859871894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93.960924939275017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342.4763153802536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11.040052652721485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1.0745946056392099</v>
      </c>
      <c r="AK44" s="13">
        <v>0</v>
      </c>
      <c r="AL44" s="13">
        <v>0</v>
      </c>
      <c r="AM44" s="13">
        <v>0</v>
      </c>
      <c r="AN44" s="13">
        <v>43.653015095174901</v>
      </c>
      <c r="AO44" s="13">
        <v>6.9173759977518703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89.234014946076499</v>
      </c>
      <c r="AV44" s="13">
        <v>0</v>
      </c>
      <c r="AW44" s="13">
        <v>0</v>
      </c>
      <c r="AX44" s="13">
        <v>266.24559065903998</v>
      </c>
      <c r="AY44" s="13">
        <v>0</v>
      </c>
      <c r="AZ44" s="13">
        <v>0</v>
      </c>
      <c r="BA44" s="13">
        <v>14.121825384154601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5" t="s">
        <v>33</v>
      </c>
      <c r="B45" s="95" t="s">
        <v>41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73</v>
      </c>
      <c r="H45" s="24" t="s">
        <v>72</v>
      </c>
      <c r="I45" s="24">
        <f>'MERCADO TUSD'!$U$42</f>
        <v>1.0639999999999998</v>
      </c>
      <c r="J45" s="15"/>
      <c r="L45" s="13">
        <f>('TUSD BE'!$L$45+'TUSD BF'!$L$45+'TUSD CVA'!$L$45)*1</f>
        <v>0</v>
      </c>
      <c r="M45" s="13">
        <f>('TUSD BE'!$M$45+'TUSD BF'!$M$45+'TUSD CVA'!$M$45)*1</f>
        <v>1.674699727162458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88.226479115991921</v>
      </c>
      <c r="R45" s="13">
        <f>('TUSD BE'!$R$45+'TUSD BF'!$R$45+'TUSD CVA'!$R$45)*1</f>
        <v>13.92323680420858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347.16890050611107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1265.6734659093138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12.000057231219005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1.2792792924276299</v>
      </c>
      <c r="AK45" s="13">
        <v>0</v>
      </c>
      <c r="AL45" s="13">
        <v>0</v>
      </c>
      <c r="AM45" s="13">
        <v>0</v>
      </c>
      <c r="AN45" s="13">
        <v>51.9678751133034</v>
      </c>
      <c r="AO45" s="13">
        <v>8.2349714258950808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366.70689506326403</v>
      </c>
      <c r="AV45" s="13">
        <v>0</v>
      </c>
      <c r="AW45" s="13">
        <v>0</v>
      </c>
      <c r="AX45" s="13">
        <v>1093.5079231556001</v>
      </c>
      <c r="AY45" s="13">
        <v>0</v>
      </c>
      <c r="AZ45" s="13">
        <v>0</v>
      </c>
      <c r="BA45" s="13">
        <v>16.8116968858983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72</v>
      </c>
      <c r="I46" s="24">
        <f>'MERCADO TUSD'!$U$43</f>
        <v>1.6680000000000006</v>
      </c>
      <c r="J46" s="15"/>
      <c r="L46" s="13">
        <f>('TUSD BE'!$L$46+'TUSD BF'!$L$46+'TUSD CVA'!$L$46)*1</f>
        <v>0</v>
      </c>
      <c r="M46" s="13">
        <f>('TUSD BE'!$M$46+'TUSD BF'!$M$46+'TUSD CVA'!$M$46)*1</f>
        <v>1.674699727162458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88.226479115991921</v>
      </c>
      <c r="R46" s="13">
        <f>('TUSD BE'!$R$46+'TUSD BF'!$R$46+'TUSD CVA'!$R$46)*1</f>
        <v>13.92323680420858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208.29267408048875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759.40414277586365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12.000057231219005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1.2792792924276299</v>
      </c>
      <c r="AK46" s="13">
        <v>0</v>
      </c>
      <c r="AL46" s="13">
        <v>0</v>
      </c>
      <c r="AM46" s="13">
        <v>0</v>
      </c>
      <c r="AN46" s="13">
        <v>51.9678751133034</v>
      </c>
      <c r="AO46" s="13">
        <v>8.2349714258950808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220.03464178617901</v>
      </c>
      <c r="AV46" s="13">
        <v>0</v>
      </c>
      <c r="AW46" s="13">
        <v>0</v>
      </c>
      <c r="AX46" s="13">
        <v>656.10486970343197</v>
      </c>
      <c r="AY46" s="13">
        <v>0</v>
      </c>
      <c r="AZ46" s="13">
        <v>0</v>
      </c>
      <c r="BA46" s="13">
        <v>16.8116968858983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5"/>
      <c r="B47" s="95"/>
      <c r="C47" s="95"/>
      <c r="D47" s="95"/>
      <c r="E47" s="95"/>
      <c r="F47" s="95"/>
      <c r="G47" s="24" t="s">
        <v>74</v>
      </c>
      <c r="H47" s="24" t="s">
        <v>72</v>
      </c>
      <c r="I47" s="24">
        <f>'MERCADO TUSD'!$U$44</f>
        <v>73.304000000000016</v>
      </c>
      <c r="J47" s="15"/>
      <c r="L47" s="13">
        <f>('TUSD BE'!$L$47+'TUSD BF'!$L$47+'TUSD CVA'!$L$47)*1</f>
        <v>0</v>
      </c>
      <c r="M47" s="13">
        <f>('TUSD BE'!$M$47+'TUSD BF'!$M$47+'TUSD CVA'!$M$47)*1</f>
        <v>1.674699727162458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88.226479115991921</v>
      </c>
      <c r="R47" s="13">
        <f>('TUSD BE'!$R$47+'TUSD BF'!$R$47+'TUSD CVA'!$R$47)*1</f>
        <v>13.92323680420858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69.459778770755875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253.13481964241342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12.000057231219005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1.2792792924276299</v>
      </c>
      <c r="AK47" s="13">
        <v>0</v>
      </c>
      <c r="AL47" s="13">
        <v>0</v>
      </c>
      <c r="AM47" s="13">
        <v>0</v>
      </c>
      <c r="AN47" s="13">
        <v>51.9678751133034</v>
      </c>
      <c r="AO47" s="13">
        <v>8.2349714258950808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73.309864767990106</v>
      </c>
      <c r="AV47" s="13">
        <v>0</v>
      </c>
      <c r="AW47" s="13">
        <v>0</v>
      </c>
      <c r="AX47" s="13">
        <v>218.70162323447701</v>
      </c>
      <c r="AY47" s="13">
        <v>0</v>
      </c>
      <c r="AZ47" s="13">
        <v>0</v>
      </c>
      <c r="BA47" s="13">
        <v>16.8116968858983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72</v>
      </c>
      <c r="I48" s="24">
        <f>'MERCADO TUSD'!$U$45</f>
        <v>14591.943000000003</v>
      </c>
      <c r="J48" s="15"/>
      <c r="L48" s="13">
        <f>('TUSD BE'!$L$48+'TUSD BF'!$L$48+'TUSD CVA'!$L$48)*1</f>
        <v>0</v>
      </c>
      <c r="M48" s="13">
        <f>('TUSD BE'!$M$48+'TUSD BF'!$M$48+'TUSD CVA'!$M$48)*1</f>
        <v>1.674699727162458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88.226479115991921</v>
      </c>
      <c r="R48" s="13">
        <f>('TUSD BE'!$R$48+'TUSD BF'!$R$48+'TUSD CVA'!$R$48)*1</f>
        <v>13.92323680420858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102.13144015138589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372.25686454375386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12.000057231219005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1.2792792924276299</v>
      </c>
      <c r="AK48" s="13">
        <v>0</v>
      </c>
      <c r="AL48" s="13">
        <v>0</v>
      </c>
      <c r="AM48" s="13">
        <v>0</v>
      </c>
      <c r="AN48" s="13">
        <v>51.9678751133034</v>
      </c>
      <c r="AO48" s="13">
        <v>8.2349714258950808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106.230970173901</v>
      </c>
      <c r="AV48" s="13">
        <v>0</v>
      </c>
      <c r="AW48" s="13">
        <v>0</v>
      </c>
      <c r="AX48" s="13">
        <v>316.95903649885798</v>
      </c>
      <c r="AY48" s="13">
        <v>0</v>
      </c>
      <c r="AZ48" s="13">
        <v>0</v>
      </c>
      <c r="BA48" s="13">
        <v>16.8116968858983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72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1.674699727162458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88.226479115991921</v>
      </c>
      <c r="R49" s="13">
        <f>('TUSD BE'!$R$49+'TUSD BF'!$R$49+'TUSD CVA'!$R$49)*1</f>
        <v>13.92323680420858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102.13144015138589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372.25686454375386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12.000057231219005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1.2792792924276299</v>
      </c>
      <c r="AK49" s="13">
        <v>0</v>
      </c>
      <c r="AL49" s="13">
        <v>0</v>
      </c>
      <c r="AM49" s="13">
        <v>0</v>
      </c>
      <c r="AN49" s="13">
        <v>51.9678751133034</v>
      </c>
      <c r="AO49" s="13">
        <v>8.2349714258950808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106.230970173901</v>
      </c>
      <c r="AV49" s="13">
        <v>0</v>
      </c>
      <c r="AW49" s="13">
        <v>0</v>
      </c>
      <c r="AX49" s="13">
        <v>316.95903649885798</v>
      </c>
      <c r="AY49" s="13">
        <v>0</v>
      </c>
      <c r="AZ49" s="13">
        <v>0</v>
      </c>
      <c r="BA49" s="13">
        <v>16.8116968858983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78</v>
      </c>
      <c r="H50" s="24" t="s">
        <v>72</v>
      </c>
      <c r="I50" s="24">
        <f>'MERCADO TUSD'!$U$47</f>
        <v>5137.0619999999999</v>
      </c>
      <c r="J50" s="15"/>
      <c r="L50" s="13">
        <f>('TUSD BE'!$L$50+'TUSD BF'!$L$50+'TUSD CVA'!$L$50)*1</f>
        <v>0</v>
      </c>
      <c r="M50" s="13">
        <f>('TUSD BE'!$M$50+'TUSD BF'!$M$50+'TUSD CVA'!$M$50)*1</f>
        <v>0.9210848499393518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48.524563513795563</v>
      </c>
      <c r="R50" s="13">
        <f>('TUSD BE'!$R$50+'TUSD BF'!$R$50+'TUSD CVA'!$R$50)*1</f>
        <v>7.6577802423147192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56.172292083262235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204.74127549906464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6.6000314771704538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0.70360361083519596</v>
      </c>
      <c r="AK50" s="13">
        <v>0</v>
      </c>
      <c r="AL50" s="13">
        <v>0</v>
      </c>
      <c r="AM50" s="13">
        <v>0</v>
      </c>
      <c r="AN50" s="13">
        <v>28.582331312316899</v>
      </c>
      <c r="AO50" s="13">
        <v>4.5292342842422997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58.427033595645298</v>
      </c>
      <c r="AV50" s="13">
        <v>0</v>
      </c>
      <c r="AW50" s="13">
        <v>0</v>
      </c>
      <c r="AX50" s="13">
        <v>174.327470074372</v>
      </c>
      <c r="AY50" s="13">
        <v>0</v>
      </c>
      <c r="AZ50" s="13">
        <v>0</v>
      </c>
      <c r="BA50" s="13">
        <v>9.2464332872440806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72</v>
      </c>
      <c r="I51" s="24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1.0048198362974747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52.935887469595158</v>
      </c>
      <c r="R51" s="13">
        <f>('TUSD BE'!$R$51+'TUSD BF'!$R$51+'TUSD CVA'!$R$51)*1</f>
        <v>8.3539420825251458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61.278864090831533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223.3541187262523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7.2000343387314034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0.76756757545657806</v>
      </c>
      <c r="AK51" s="13">
        <v>0</v>
      </c>
      <c r="AL51" s="13">
        <v>0</v>
      </c>
      <c r="AM51" s="13">
        <v>0</v>
      </c>
      <c r="AN51" s="13">
        <v>31.180725067981999</v>
      </c>
      <c r="AO51" s="13">
        <v>4.9409828555370501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63.738582104340303</v>
      </c>
      <c r="AV51" s="13">
        <v>0</v>
      </c>
      <c r="AW51" s="13">
        <v>0</v>
      </c>
      <c r="AX51" s="13">
        <v>190.17542189931501</v>
      </c>
      <c r="AY51" s="13">
        <v>0</v>
      </c>
      <c r="AZ51" s="13">
        <v>0</v>
      </c>
      <c r="BA51" s="13">
        <v>10.087018131539001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2" t="s">
        <v>748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749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25">
      <c r="L54" s="92" t="s">
        <v>446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446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25">
      <c r="L55" s="92" t="s">
        <v>447</v>
      </c>
      <c r="M55" s="92"/>
      <c r="N55" s="92"/>
      <c r="O55" s="92"/>
      <c r="P55" s="92"/>
      <c r="Q55" s="92"/>
      <c r="R55" s="92"/>
      <c r="S55" s="92"/>
      <c r="T55" s="92" t="s">
        <v>456</v>
      </c>
      <c r="U55" s="92"/>
      <c r="V55" s="92"/>
      <c r="W55" s="92"/>
      <c r="X55" s="92"/>
      <c r="Y55" s="92"/>
      <c r="Z55" s="92"/>
      <c r="AA55" s="10" t="s">
        <v>464</v>
      </c>
      <c r="AB55" s="92" t="s">
        <v>466</v>
      </c>
      <c r="AC55" s="92"/>
      <c r="AD55" s="92" t="s">
        <v>469</v>
      </c>
      <c r="AE55" s="92"/>
      <c r="AF55" s="92"/>
      <c r="AG55" s="92"/>
      <c r="AI55" s="92" t="s">
        <v>447</v>
      </c>
      <c r="AJ55" s="92"/>
      <c r="AK55" s="92"/>
      <c r="AL55" s="92"/>
      <c r="AM55" s="92"/>
      <c r="AN55" s="92"/>
      <c r="AO55" s="92"/>
      <c r="AP55" s="92"/>
      <c r="AQ55" s="92" t="s">
        <v>456</v>
      </c>
      <c r="AR55" s="92"/>
      <c r="AS55" s="92"/>
      <c r="AT55" s="92"/>
      <c r="AU55" s="92"/>
      <c r="AV55" s="92"/>
      <c r="AW55" s="92"/>
      <c r="AX55" s="10" t="s">
        <v>464</v>
      </c>
      <c r="AY55" s="92" t="s">
        <v>466</v>
      </c>
      <c r="AZ55" s="92"/>
      <c r="BA55" s="92" t="s">
        <v>469</v>
      </c>
      <c r="BB55" s="92"/>
      <c r="BC55" s="92"/>
      <c r="BD55" s="92"/>
    </row>
    <row r="56" spans="1:56" ht="11.25" customHeight="1" x14ac:dyDescent="0.25">
      <c r="L56" s="10" t="s">
        <v>532</v>
      </c>
      <c r="M56" s="10" t="s">
        <v>448</v>
      </c>
      <c r="N56" s="10" t="s">
        <v>449</v>
      </c>
      <c r="O56" s="10" t="s">
        <v>450</v>
      </c>
      <c r="P56" s="10" t="s">
        <v>451</v>
      </c>
      <c r="Q56" s="10" t="s">
        <v>452</v>
      </c>
      <c r="R56" s="10" t="s">
        <v>453</v>
      </c>
      <c r="S56" s="10" t="s">
        <v>454</v>
      </c>
      <c r="T56" s="10" t="s">
        <v>457</v>
      </c>
      <c r="U56" s="10" t="s">
        <v>458</v>
      </c>
      <c r="V56" s="10" t="s">
        <v>459</v>
      </c>
      <c r="W56" s="10" t="s">
        <v>460</v>
      </c>
      <c r="X56" s="10" t="s">
        <v>461</v>
      </c>
      <c r="Y56" s="10" t="s">
        <v>462</v>
      </c>
      <c r="Z56" s="10" t="s">
        <v>463</v>
      </c>
      <c r="AA56" s="10" t="s">
        <v>465</v>
      </c>
      <c r="AB56" s="10" t="s">
        <v>467</v>
      </c>
      <c r="AC56" s="10" t="s">
        <v>468</v>
      </c>
      <c r="AD56" s="10" t="s">
        <v>470</v>
      </c>
      <c r="AE56" s="10" t="s">
        <v>471</v>
      </c>
      <c r="AF56" s="10" t="s">
        <v>472</v>
      </c>
      <c r="AG56" s="10" t="s">
        <v>473</v>
      </c>
      <c r="AI56" s="10" t="s">
        <v>532</v>
      </c>
      <c r="AJ56" s="10" t="s">
        <v>448</v>
      </c>
      <c r="AK56" s="10" t="s">
        <v>449</v>
      </c>
      <c r="AL56" s="10" t="s">
        <v>450</v>
      </c>
      <c r="AM56" s="10" t="s">
        <v>451</v>
      </c>
      <c r="AN56" s="10" t="s">
        <v>452</v>
      </c>
      <c r="AO56" s="10" t="s">
        <v>453</v>
      </c>
      <c r="AP56" s="10" t="s">
        <v>454</v>
      </c>
      <c r="AQ56" s="10" t="s">
        <v>457</v>
      </c>
      <c r="AR56" s="10" t="s">
        <v>458</v>
      </c>
      <c r="AS56" s="10" t="s">
        <v>459</v>
      </c>
      <c r="AT56" s="10" t="s">
        <v>460</v>
      </c>
      <c r="AU56" s="10" t="s">
        <v>461</v>
      </c>
      <c r="AV56" s="10" t="s">
        <v>462</v>
      </c>
      <c r="AW56" s="10" t="s">
        <v>463</v>
      </c>
      <c r="AX56" s="10" t="s">
        <v>465</v>
      </c>
      <c r="AY56" s="10" t="s">
        <v>467</v>
      </c>
      <c r="AZ56" s="10" t="s">
        <v>468</v>
      </c>
      <c r="BA56" s="10" t="s">
        <v>470</v>
      </c>
      <c r="BB56" s="10" t="s">
        <v>471</v>
      </c>
      <c r="BC56" s="10" t="s">
        <v>472</v>
      </c>
      <c r="BD56" s="10" t="s">
        <v>473</v>
      </c>
    </row>
    <row r="57" spans="1:56" ht="11.25" customHeight="1" x14ac:dyDescent="0.25">
      <c r="A57" s="9" t="s">
        <v>35</v>
      </c>
      <c r="B57" s="9" t="s">
        <v>750</v>
      </c>
      <c r="C57" s="9" t="s">
        <v>751</v>
      </c>
      <c r="D57" s="9" t="s">
        <v>752</v>
      </c>
      <c r="E57" s="9" t="s">
        <v>753</v>
      </c>
      <c r="F57" s="9" t="s">
        <v>754</v>
      </c>
      <c r="G57" s="9" t="s">
        <v>755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208654.53222928132</v>
      </c>
      <c r="Y57" s="13">
        <f>$I$5*$Y$5</f>
        <v>0</v>
      </c>
      <c r="Z57" s="13">
        <f>$I$5*$Z$5</f>
        <v>0</v>
      </c>
      <c r="AA57" s="13">
        <f>$I$5*$AA$5</f>
        <v>535718.9854207969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230182.04526321744</v>
      </c>
      <c r="AV57" s="13">
        <f>$I$5*$AV$5</f>
        <v>0</v>
      </c>
      <c r="AW57" s="13">
        <f>$I$5*$AW$5</f>
        <v>0</v>
      </c>
      <c r="AX57" s="13">
        <f>$I$5*$AX$5</f>
        <v>538522.46524604619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750</v>
      </c>
      <c r="C58" s="9" t="s">
        <v>751</v>
      </c>
      <c r="D58" s="9" t="s">
        <v>752</v>
      </c>
      <c r="E58" s="9" t="s">
        <v>753</v>
      </c>
      <c r="F58" s="9" t="s">
        <v>754</v>
      </c>
      <c r="G58" s="9" t="s">
        <v>756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743332.46707286371</v>
      </c>
      <c r="Y58" s="13">
        <f>$I$6*$Y$6</f>
        <v>0</v>
      </c>
      <c r="Z58" s="13">
        <f>$I$6*$Z$6</f>
        <v>0</v>
      </c>
      <c r="AA58" s="13">
        <f>$I$6*$AA$6</f>
        <v>907451.13573780167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577659.57757820992</v>
      </c>
      <c r="AV58" s="13">
        <f>$I$6*$AV$6</f>
        <v>0</v>
      </c>
      <c r="AW58" s="13">
        <f>$I$6*$AW$6</f>
        <v>0</v>
      </c>
      <c r="AX58" s="13">
        <f>$I$6*$AX$6</f>
        <v>931306.20961360191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750</v>
      </c>
      <c r="C59" s="9" t="s">
        <v>751</v>
      </c>
      <c r="D59" s="9" t="s">
        <v>752</v>
      </c>
      <c r="E59" s="9" t="s">
        <v>753</v>
      </c>
      <c r="F59" s="9" t="s">
        <v>754</v>
      </c>
      <c r="G59" s="9" t="s">
        <v>757</v>
      </c>
      <c r="L59" s="13">
        <f>$I$7*$L$7</f>
        <v>0</v>
      </c>
      <c r="M59" s="13">
        <f>$I$7*$M$7</f>
        <v>7785.7079713429011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1221670.66234077</v>
      </c>
      <c r="R59" s="13">
        <f>$I$7*$R$7</f>
        <v>229517.66671516033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99103.374917616384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7214.0017270532444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745298.28651582473</v>
      </c>
      <c r="AO59" s="13">
        <f>$I$7*$AO$7</f>
        <v>135749.42764502458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106998.68712385235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750</v>
      </c>
      <c r="C60" s="9" t="s">
        <v>751</v>
      </c>
      <c r="D60" s="9" t="s">
        <v>752</v>
      </c>
      <c r="E60" s="9" t="s">
        <v>758</v>
      </c>
      <c r="F60" s="9" t="s">
        <v>759</v>
      </c>
      <c r="G60" s="9" t="s">
        <v>760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761</v>
      </c>
      <c r="C61" s="9" t="s">
        <v>762</v>
      </c>
      <c r="D61" s="9" t="s">
        <v>763</v>
      </c>
      <c r="E61" s="9" t="s">
        <v>764</v>
      </c>
      <c r="F61" s="9" t="s">
        <v>765</v>
      </c>
      <c r="G61" s="9" t="s">
        <v>766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767</v>
      </c>
      <c r="C62" s="9" t="s">
        <v>768</v>
      </c>
      <c r="D62" s="9" t="s">
        <v>769</v>
      </c>
      <c r="E62" s="9" t="s">
        <v>770</v>
      </c>
      <c r="F62" s="9" t="s">
        <v>771</v>
      </c>
      <c r="G62" s="9" t="s">
        <v>772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4843619.0373633886</v>
      </c>
      <c r="Y62" s="13">
        <f>$I$10*$Y$10</f>
        <v>0</v>
      </c>
      <c r="Z62" s="13">
        <f>$I$10*$Z$10</f>
        <v>0</v>
      </c>
      <c r="AA62" s="13">
        <f>$I$10*$AA$10</f>
        <v>5913030.5633559776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3764080.0732020838</v>
      </c>
      <c r="AV62" s="13">
        <f>$I$10*$AV$10</f>
        <v>0</v>
      </c>
      <c r="AW62" s="13">
        <f>$I$10*$AW$10</f>
        <v>0</v>
      </c>
      <c r="AX62" s="13">
        <f>$I$10*$AX$10</f>
        <v>6068472.3005069662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767</v>
      </c>
      <c r="C63" s="9" t="s">
        <v>768</v>
      </c>
      <c r="D63" s="9" t="s">
        <v>769</v>
      </c>
      <c r="E63" s="9" t="s">
        <v>770</v>
      </c>
      <c r="F63" s="9" t="s">
        <v>771</v>
      </c>
      <c r="G63" s="9" t="s">
        <v>773</v>
      </c>
      <c r="L63" s="13">
        <f>$I$11*$L$11</f>
        <v>0</v>
      </c>
      <c r="M63" s="13">
        <f>$I$11*$M$11</f>
        <v>551.98808424057052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86613.529682911685</v>
      </c>
      <c r="R63" s="13">
        <f>$I$11*$R$11</f>
        <v>16272.253931920217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829863.81912274845</v>
      </c>
      <c r="Y63" s="13">
        <f>$I$11*$Y$11</f>
        <v>0</v>
      </c>
      <c r="Z63" s="13">
        <f>$I$11*$Z$11</f>
        <v>0</v>
      </c>
      <c r="AA63" s="13">
        <f>$I$11*$AA$11</f>
        <v>2129504.0933951917</v>
      </c>
      <c r="AB63" s="13">
        <f ca="1">$I$11*$AB$11</f>
        <v>0</v>
      </c>
      <c r="AC63" s="13">
        <f ca="1">$I$11*$AC$11</f>
        <v>0</v>
      </c>
      <c r="AD63" s="13">
        <f>$I$11*$AD$11</f>
        <v>7026.1923853168355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511.45547812493322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52839.866955694619</v>
      </c>
      <c r="AO63" s="13">
        <f>$I$11*$AO$11</f>
        <v>9624.3099251006915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916460.43842755817</v>
      </c>
      <c r="AV63" s="13">
        <f>$I$11*$AV$11</f>
        <v>0</v>
      </c>
      <c r="AW63" s="13">
        <f>$I$11*$AW$11</f>
        <v>0</v>
      </c>
      <c r="AX63" s="13">
        <f>$I$11*$AX$11</f>
        <v>2140643.0719862706</v>
      </c>
      <c r="AY63" s="13">
        <f>$I$11*$AY$11</f>
        <v>0</v>
      </c>
      <c r="AZ63" s="13">
        <f>$I$11*$AZ$11</f>
        <v>0</v>
      </c>
      <c r="BA63" s="13">
        <f>$I$11*$BA$11</f>
        <v>7585.9511478137638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767</v>
      </c>
      <c r="C64" s="9" t="s">
        <v>768</v>
      </c>
      <c r="D64" s="9" t="s">
        <v>769</v>
      </c>
      <c r="E64" s="9" t="s">
        <v>770</v>
      </c>
      <c r="F64" s="9" t="s">
        <v>771</v>
      </c>
      <c r="G64" s="9" t="s">
        <v>774</v>
      </c>
      <c r="L64" s="13">
        <f>$I$12*$L$12</f>
        <v>0</v>
      </c>
      <c r="M64" s="13">
        <f>$I$12*$M$12</f>
        <v>34351.362989752983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5390139.5390715273</v>
      </c>
      <c r="R64" s="13">
        <f>$I$12*$R$12</f>
        <v>1012656.1015277486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437254.52044118114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31828.934869742847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3288334.4803041858</v>
      </c>
      <c r="AO64" s="13">
        <f>$I$12*$AO$12</f>
        <v>598940.76195117412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472089.46885076794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767</v>
      </c>
      <c r="C65" s="9" t="s">
        <v>768</v>
      </c>
      <c r="D65" s="9" t="s">
        <v>769</v>
      </c>
      <c r="E65" s="9" t="s">
        <v>775</v>
      </c>
      <c r="F65" s="9" t="s">
        <v>776</v>
      </c>
      <c r="G65" s="9" t="s">
        <v>777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767</v>
      </c>
      <c r="C66" s="9" t="s">
        <v>768</v>
      </c>
      <c r="D66" s="9" t="s">
        <v>769</v>
      </c>
      <c r="E66" s="9" t="s">
        <v>775</v>
      </c>
      <c r="F66" s="9" t="s">
        <v>776</v>
      </c>
      <c r="G66" s="9" t="s">
        <v>778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81</v>
      </c>
      <c r="B67" s="9" t="s">
        <v>779</v>
      </c>
      <c r="C67" s="9" t="s">
        <v>780</v>
      </c>
      <c r="D67" s="9" t="s">
        <v>781</v>
      </c>
      <c r="E67" s="9" t="s">
        <v>782</v>
      </c>
      <c r="F67" s="9" t="s">
        <v>783</v>
      </c>
      <c r="G67" s="9" t="s">
        <v>784</v>
      </c>
      <c r="L67" s="13">
        <f>$I$15*$L$15</f>
        <v>0</v>
      </c>
      <c r="M67" s="13">
        <f>$I$15*$M$15</f>
        <v>6.7109538323172957E-11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6.6480311479807941E-8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1.04073977936189E-10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9.9306169956787698E-8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81</v>
      </c>
      <c r="B68" s="9" t="s">
        <v>779</v>
      </c>
      <c r="C68" s="9" t="s">
        <v>780</v>
      </c>
      <c r="D68" s="9" t="s">
        <v>781</v>
      </c>
      <c r="E68" s="9" t="s">
        <v>785</v>
      </c>
      <c r="F68" s="9" t="s">
        <v>786</v>
      </c>
      <c r="G68" s="9" t="s">
        <v>787</v>
      </c>
      <c r="L68" s="13">
        <f>$I$16*$L$16</f>
        <v>0</v>
      </c>
      <c r="M68" s="13">
        <f>$I$16*$M$16</f>
        <v>6.7109538323172957E-11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1.9787914663882343E-7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1.04073977936189E-10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2.0204996882528601E-7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788</v>
      </c>
      <c r="C69" s="9" t="s">
        <v>789</v>
      </c>
      <c r="D69" s="9" t="s">
        <v>790</v>
      </c>
      <c r="E69" s="9" t="s">
        <v>791</v>
      </c>
      <c r="F69" s="9" t="s">
        <v>792</v>
      </c>
      <c r="G69" s="9" t="s">
        <v>793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788</v>
      </c>
      <c r="C70" s="9" t="s">
        <v>789</v>
      </c>
      <c r="D70" s="9" t="s">
        <v>790</v>
      </c>
      <c r="E70" s="9" t="s">
        <v>791</v>
      </c>
      <c r="F70" s="9" t="s">
        <v>792</v>
      </c>
      <c r="G70" s="9" t="s">
        <v>794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788</v>
      </c>
      <c r="C71" s="9" t="s">
        <v>789</v>
      </c>
      <c r="D71" s="9" t="s">
        <v>790</v>
      </c>
      <c r="E71" s="9" t="s">
        <v>791</v>
      </c>
      <c r="F71" s="9" t="s">
        <v>792</v>
      </c>
      <c r="G71" s="9" t="s">
        <v>795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796</v>
      </c>
      <c r="C72" s="9" t="s">
        <v>797</v>
      </c>
      <c r="D72" s="9" t="s">
        <v>798</v>
      </c>
      <c r="E72" s="9" t="s">
        <v>799</v>
      </c>
      <c r="F72" s="9" t="s">
        <v>800</v>
      </c>
      <c r="G72" s="9" t="s">
        <v>801</v>
      </c>
      <c r="L72" s="13">
        <f>$I$20*$L$20</f>
        <v>0</v>
      </c>
      <c r="M72" s="13">
        <f>$I$20*$M$20</f>
        <v>50529.433722381567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2661990.0611103005</v>
      </c>
      <c r="R72" s="13">
        <f>$I$20*$R$20</f>
        <v>420095.17281723028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3081533.8131360505</v>
      </c>
      <c r="Y72" s="13">
        <f>$I$20*$Y$20</f>
        <v>0</v>
      </c>
      <c r="Z72" s="13">
        <f>$I$20*$Z$20</f>
        <v>0</v>
      </c>
      <c r="AA72" s="13">
        <f>$I$20*$AA$20</f>
        <v>11231821.59737731</v>
      </c>
      <c r="AB72" s="13">
        <f ca="1">$I$20*$AB$20</f>
        <v>0</v>
      </c>
      <c r="AC72" s="13">
        <f ca="1">$I$20*$AC$20</f>
        <v>0</v>
      </c>
      <c r="AD72" s="13">
        <f>$I$20*$AD$20</f>
        <v>362068.54679378914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38598.715441760171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1567986.9403692419</v>
      </c>
      <c r="AO72" s="13">
        <f>$I$20*$AO$20</f>
        <v>248467.49308039146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3205225.7963649319</v>
      </c>
      <c r="AV72" s="13">
        <f>$I$20*$AV$20</f>
        <v>0</v>
      </c>
      <c r="AW72" s="13">
        <f>$I$20*$AW$20</f>
        <v>0</v>
      </c>
      <c r="AX72" s="13">
        <f>$I$20*$AX$20</f>
        <v>9563362.5346171204</v>
      </c>
      <c r="AY72" s="13">
        <f>$I$20*$AY$20</f>
        <v>0</v>
      </c>
      <c r="AZ72" s="13">
        <f>$I$20*$AZ$20</f>
        <v>0</v>
      </c>
      <c r="BA72" s="13">
        <f>$I$20*$BA$20</f>
        <v>507246.46919009171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796</v>
      </c>
      <c r="C73" s="9" t="s">
        <v>797</v>
      </c>
      <c r="D73" s="9" t="s">
        <v>802</v>
      </c>
      <c r="E73" s="9" t="s">
        <v>803</v>
      </c>
      <c r="F73" s="9" t="s">
        <v>804</v>
      </c>
      <c r="G73" s="9" t="s">
        <v>805</v>
      </c>
      <c r="L73" s="13">
        <f>$I$21*$L$21</f>
        <v>0</v>
      </c>
      <c r="M73" s="13">
        <f>$I$21*$M$21</f>
        <v>112.40969749651669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6855.2971652733704</v>
      </c>
      <c r="Y73" s="13">
        <f>$I$21*$Y$21</f>
        <v>0</v>
      </c>
      <c r="Z73" s="13">
        <f>$I$21*$Z$21</f>
        <v>0</v>
      </c>
      <c r="AA73" s="13">
        <f>$I$21*$AA$21</f>
        <v>24986.736938965216</v>
      </c>
      <c r="AB73" s="13">
        <f ca="1">$I$21*$AB$21</f>
        <v>0</v>
      </c>
      <c r="AC73" s="13">
        <f ca="1">$I$21*$AC$21</f>
        <v>0</v>
      </c>
      <c r="AD73" s="13">
        <f>$I$21*$AD$21</f>
        <v>805.47144149105168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85.868168450115036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7130.4670493036083</v>
      </c>
      <c r="AV73" s="13">
        <f>$I$21*$AV$21</f>
        <v>0</v>
      </c>
      <c r="AW73" s="13">
        <f>$I$21*$AW$21</f>
        <v>0</v>
      </c>
      <c r="AX73" s="13">
        <f>$I$21*$AX$21</f>
        <v>21275.019535587246</v>
      </c>
      <c r="AY73" s="13">
        <f>$I$21*$AY$21</f>
        <v>0</v>
      </c>
      <c r="AZ73" s="13">
        <f>$I$21*$AZ$21</f>
        <v>0</v>
      </c>
      <c r="BA73" s="13">
        <f>$I$21*$BA$21</f>
        <v>1128.4397618843327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796</v>
      </c>
      <c r="C74" s="9" t="s">
        <v>797</v>
      </c>
      <c r="D74" s="9" t="s">
        <v>806</v>
      </c>
      <c r="E74" s="9" t="s">
        <v>807</v>
      </c>
      <c r="F74" s="9" t="s">
        <v>808</v>
      </c>
      <c r="G74" s="9" t="s">
        <v>809</v>
      </c>
      <c r="L74" s="13">
        <f>$I$22*$L$22</f>
        <v>0</v>
      </c>
      <c r="M74" s="13">
        <f>$I$22*$M$22</f>
        <v>423.8279828510934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25847.118479192286</v>
      </c>
      <c r="Y74" s="13">
        <f>$I$22*$Y$22</f>
        <v>0</v>
      </c>
      <c r="Z74" s="13">
        <f>$I$22*$Z$22</f>
        <v>0</v>
      </c>
      <c r="AA74" s="13">
        <f>$I$22*$AA$22</f>
        <v>94209.650508139603</v>
      </c>
      <c r="AB74" s="13">
        <f ca="1">$I$22*$AB$22</f>
        <v>0</v>
      </c>
      <c r="AC74" s="13">
        <f ca="1">$I$22*$AC$22</f>
        <v>0</v>
      </c>
      <c r="AD74" s="13">
        <f>$I$22*$AD$22</f>
        <v>3036.9384839052123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323.75616548970737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26884.615238700218</v>
      </c>
      <c r="AV74" s="13">
        <f>$I$22*$AV$22</f>
        <v>0</v>
      </c>
      <c r="AW74" s="13">
        <f>$I$22*$AW$22</f>
        <v>0</v>
      </c>
      <c r="AX74" s="13">
        <f>$I$22*$AX$22</f>
        <v>80215.04208002158</v>
      </c>
      <c r="AY74" s="13">
        <f>$I$22*$AY$22</f>
        <v>0</v>
      </c>
      <c r="AZ74" s="13">
        <f>$I$22*$AZ$22</f>
        <v>0</v>
      </c>
      <c r="BA74" s="13">
        <f>$I$22*$BA$22</f>
        <v>4254.6538127924932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796</v>
      </c>
      <c r="C75" s="9" t="s">
        <v>797</v>
      </c>
      <c r="D75" s="9" t="s">
        <v>810</v>
      </c>
      <c r="E75" s="9" t="s">
        <v>811</v>
      </c>
      <c r="F75" s="9" t="s">
        <v>812</v>
      </c>
      <c r="G75" s="9" t="s">
        <v>813</v>
      </c>
      <c r="L75" s="13">
        <f>$I$23*$L$23</f>
        <v>0</v>
      </c>
      <c r="M75" s="13">
        <f>$I$23*$M$23</f>
        <v>733.93347108954742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44758.878957176537</v>
      </c>
      <c r="Y75" s="13">
        <f>$I$23*$Y$23</f>
        <v>0</v>
      </c>
      <c r="Z75" s="13">
        <f>$I$23*$Z$23</f>
        <v>0</v>
      </c>
      <c r="AA75" s="13">
        <f>$I$23*$AA$23</f>
        <v>163140.75192119816</v>
      </c>
      <c r="AB75" s="13">
        <f ca="1">$I$23*$AB$23</f>
        <v>0</v>
      </c>
      <c r="AC75" s="13">
        <f ca="1">$I$23*$AC$23</f>
        <v>0</v>
      </c>
      <c r="AD75" s="13">
        <f>$I$23*$AD$23</f>
        <v>5258.9986814558197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560.64133549196697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46555.488970577535</v>
      </c>
      <c r="AV75" s="13">
        <f>$I$23*$AV$23</f>
        <v>0</v>
      </c>
      <c r="AW75" s="13">
        <f>$I$23*$AW$23</f>
        <v>0</v>
      </c>
      <c r="AX75" s="13">
        <f>$I$23*$AX$23</f>
        <v>138906.60043574413</v>
      </c>
      <c r="AY75" s="13">
        <f>$I$23*$AY$23</f>
        <v>0</v>
      </c>
      <c r="AZ75" s="13">
        <f>$I$23*$AZ$23</f>
        <v>0</v>
      </c>
      <c r="BA75" s="13">
        <f>$I$23*$BA$23</f>
        <v>7367.6891745117955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796</v>
      </c>
      <c r="C76" s="9" t="s">
        <v>797</v>
      </c>
      <c r="D76" s="9" t="s">
        <v>814</v>
      </c>
      <c r="E76" s="9" t="s">
        <v>815</v>
      </c>
      <c r="F76" s="9" t="s">
        <v>816</v>
      </c>
      <c r="G76" s="9" t="s">
        <v>817</v>
      </c>
      <c r="L76" s="13">
        <f>$I$24*$L$24</f>
        <v>0</v>
      </c>
      <c r="M76" s="13">
        <f>$I$24*$M$24</f>
        <v>390.52155467728642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23815.928397461525</v>
      </c>
      <c r="Y76" s="13">
        <f>$I$24*$Y$24</f>
        <v>0</v>
      </c>
      <c r="Z76" s="13">
        <f>$I$24*$Z$24</f>
        <v>0</v>
      </c>
      <c r="AA76" s="13">
        <f>$I$24*$AA$24</f>
        <v>86806.205986093424</v>
      </c>
      <c r="AB76" s="13">
        <f ca="1">$I$24*$AB$24</f>
        <v>0</v>
      </c>
      <c r="AC76" s="13">
        <f ca="1">$I$24*$AC$24</f>
        <v>0</v>
      </c>
      <c r="AD76" s="13">
        <f>$I$24*$AD$24</f>
        <v>2798.2813456907284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298.31385892190661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24771.8937038818</v>
      </c>
      <c r="AV76" s="13">
        <f>$I$24*$AV$24</f>
        <v>0</v>
      </c>
      <c r="AW76" s="13">
        <f>$I$24*$AW$24</f>
        <v>0</v>
      </c>
      <c r="AX76" s="13">
        <f>$I$24*$AX$24</f>
        <v>73911.360762132186</v>
      </c>
      <c r="AY76" s="13">
        <f>$I$24*$AY$24</f>
        <v>0</v>
      </c>
      <c r="AZ76" s="13">
        <f>$I$24*$AZ$24</f>
        <v>0</v>
      </c>
      <c r="BA76" s="13">
        <f>$I$24*$BA$24</f>
        <v>3920.3027851257384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818</v>
      </c>
      <c r="C77" s="9" t="s">
        <v>819</v>
      </c>
      <c r="D77" s="9" t="s">
        <v>820</v>
      </c>
      <c r="E77" s="9" t="s">
        <v>821</v>
      </c>
      <c r="F77" s="9" t="s">
        <v>822</v>
      </c>
      <c r="G77" s="9" t="s">
        <v>823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818</v>
      </c>
      <c r="C78" s="9" t="s">
        <v>819</v>
      </c>
      <c r="D78" s="9" t="s">
        <v>824</v>
      </c>
      <c r="E78" s="9" t="s">
        <v>825</v>
      </c>
      <c r="F78" s="9" t="s">
        <v>826</v>
      </c>
      <c r="G78" s="9" t="s">
        <v>827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818</v>
      </c>
      <c r="C79" s="9" t="s">
        <v>819</v>
      </c>
      <c r="D79" s="9" t="s">
        <v>828</v>
      </c>
      <c r="E79" s="9" t="s">
        <v>829</v>
      </c>
      <c r="F79" s="9" t="s">
        <v>830</v>
      </c>
      <c r="G79" s="9" t="s">
        <v>831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818</v>
      </c>
      <c r="C80" s="9" t="s">
        <v>819</v>
      </c>
      <c r="D80" s="9" t="s">
        <v>832</v>
      </c>
      <c r="E80" s="9" t="s">
        <v>833</v>
      </c>
      <c r="F80" s="9" t="s">
        <v>834</v>
      </c>
      <c r="G80" s="9" t="s">
        <v>835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818</v>
      </c>
      <c r="C81" s="9" t="s">
        <v>819</v>
      </c>
      <c r="D81" s="9" t="s">
        <v>836</v>
      </c>
      <c r="E81" s="9" t="s">
        <v>837</v>
      </c>
      <c r="F81" s="9" t="s">
        <v>838</v>
      </c>
      <c r="G81" s="9" t="s">
        <v>839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43</v>
      </c>
      <c r="B82" s="9" t="s">
        <v>840</v>
      </c>
      <c r="C82" s="9" t="s">
        <v>841</v>
      </c>
      <c r="D82" s="9" t="s">
        <v>842</v>
      </c>
      <c r="E82" s="9" t="s">
        <v>843</v>
      </c>
      <c r="F82" s="9" t="s">
        <v>844</v>
      </c>
      <c r="G82" s="9" t="s">
        <v>845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43</v>
      </c>
      <c r="B83" s="9" t="s">
        <v>840</v>
      </c>
      <c r="C83" s="9" t="s">
        <v>841</v>
      </c>
      <c r="D83" s="9" t="s">
        <v>842</v>
      </c>
      <c r="E83" s="9" t="s">
        <v>843</v>
      </c>
      <c r="F83" s="9" t="s">
        <v>844</v>
      </c>
      <c r="G83" s="9" t="s">
        <v>846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43</v>
      </c>
      <c r="B84" s="9" t="s">
        <v>840</v>
      </c>
      <c r="C84" s="9" t="s">
        <v>841</v>
      </c>
      <c r="D84" s="9" t="s">
        <v>842</v>
      </c>
      <c r="E84" s="9" t="s">
        <v>843</v>
      </c>
      <c r="F84" s="9" t="s">
        <v>844</v>
      </c>
      <c r="G84" s="9" t="s">
        <v>847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43</v>
      </c>
      <c r="B85" s="9" t="s">
        <v>848</v>
      </c>
      <c r="C85" s="9" t="s">
        <v>849</v>
      </c>
      <c r="D85" s="9" t="s">
        <v>850</v>
      </c>
      <c r="E85" s="9" t="s">
        <v>851</v>
      </c>
      <c r="F85" s="9" t="s">
        <v>852</v>
      </c>
      <c r="G85" s="9" t="s">
        <v>853</v>
      </c>
      <c r="L85" s="13">
        <f>$I$33*$L$33</f>
        <v>0</v>
      </c>
      <c r="M85" s="13">
        <f>$I$33*$M$33</f>
        <v>5039.7793950327959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265505.50187193876</v>
      </c>
      <c r="R85" s="13">
        <f>$I$33*$R$33</f>
        <v>41900.073678823544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307350.57712829503</v>
      </c>
      <c r="Y85" s="13">
        <f>$I$33*$Y$33</f>
        <v>0</v>
      </c>
      <c r="Z85" s="13">
        <f>$I$33*$Z$33</f>
        <v>0</v>
      </c>
      <c r="AA85" s="13">
        <f>$I$33*$AA$33</f>
        <v>1120256.0346539847</v>
      </c>
      <c r="AB85" s="13">
        <f ca="1">$I$33*$AB$33</f>
        <v>0</v>
      </c>
      <c r="AC85" s="13">
        <f ca="1">$I$33*$AC$33</f>
        <v>0</v>
      </c>
      <c r="AD85" s="13">
        <f>$I$33*$AD$33</f>
        <v>36112.528229512915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3604.082847853329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146407.84732770696</v>
      </c>
      <c r="AO85" s="13">
        <f>$I$33*$AO$33</f>
        <v>23200.187358859985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299281.96272764588</v>
      </c>
      <c r="AV85" s="13">
        <f>$I$33*$AV$33</f>
        <v>0</v>
      </c>
      <c r="AW85" s="13">
        <f>$I$33*$AW$33</f>
        <v>0</v>
      </c>
      <c r="AX85" s="13">
        <f>$I$33*$AX$33</f>
        <v>892961.08651135641</v>
      </c>
      <c r="AY85" s="13">
        <f>$I$33*$AY$33</f>
        <v>0</v>
      </c>
      <c r="AZ85" s="13">
        <f>$I$33*$AZ$33</f>
        <v>0</v>
      </c>
      <c r="BA85" s="13">
        <f>$I$33*$BA$33</f>
        <v>47363.190155916003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43</v>
      </c>
      <c r="B86" s="9" t="s">
        <v>840</v>
      </c>
      <c r="C86" s="9" t="s">
        <v>841</v>
      </c>
      <c r="D86" s="9" t="s">
        <v>854</v>
      </c>
      <c r="E86" s="9" t="s">
        <v>855</v>
      </c>
      <c r="F86" s="9" t="s">
        <v>856</v>
      </c>
      <c r="G86" s="9" t="s">
        <v>857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43</v>
      </c>
      <c r="B87" s="9" t="s">
        <v>840</v>
      </c>
      <c r="C87" s="9" t="s">
        <v>841</v>
      </c>
      <c r="D87" s="9" t="s">
        <v>854</v>
      </c>
      <c r="E87" s="9" t="s">
        <v>855</v>
      </c>
      <c r="F87" s="9" t="s">
        <v>856</v>
      </c>
      <c r="G87" s="9" t="s">
        <v>858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43</v>
      </c>
      <c r="B88" s="9" t="s">
        <v>840</v>
      </c>
      <c r="C88" s="9" t="s">
        <v>841</v>
      </c>
      <c r="D88" s="9" t="s">
        <v>854</v>
      </c>
      <c r="E88" s="9" t="s">
        <v>855</v>
      </c>
      <c r="F88" s="9" t="s">
        <v>856</v>
      </c>
      <c r="G88" s="9" t="s">
        <v>859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43</v>
      </c>
      <c r="B89" s="9" t="s">
        <v>848</v>
      </c>
      <c r="C89" s="9" t="s">
        <v>849</v>
      </c>
      <c r="D89" s="9" t="s">
        <v>860</v>
      </c>
      <c r="E89" s="9" t="s">
        <v>861</v>
      </c>
      <c r="F89" s="9" t="s">
        <v>862</v>
      </c>
      <c r="G89" s="9" t="s">
        <v>863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43</v>
      </c>
      <c r="B90" s="9" t="s">
        <v>840</v>
      </c>
      <c r="C90" s="9" t="s">
        <v>841</v>
      </c>
      <c r="D90" s="9" t="s">
        <v>864</v>
      </c>
      <c r="E90" s="9" t="s">
        <v>865</v>
      </c>
      <c r="F90" s="9" t="s">
        <v>866</v>
      </c>
      <c r="G90" s="9" t="s">
        <v>867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43</v>
      </c>
      <c r="B91" s="9" t="s">
        <v>840</v>
      </c>
      <c r="C91" s="9" t="s">
        <v>841</v>
      </c>
      <c r="D91" s="9" t="s">
        <v>864</v>
      </c>
      <c r="E91" s="9" t="s">
        <v>865</v>
      </c>
      <c r="F91" s="9" t="s">
        <v>866</v>
      </c>
      <c r="G91" s="9" t="s">
        <v>868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43</v>
      </c>
      <c r="B92" s="9" t="s">
        <v>840</v>
      </c>
      <c r="C92" s="9" t="s">
        <v>841</v>
      </c>
      <c r="D92" s="9" t="s">
        <v>864</v>
      </c>
      <c r="E92" s="9" t="s">
        <v>865</v>
      </c>
      <c r="F92" s="9" t="s">
        <v>866</v>
      </c>
      <c r="G92" s="9" t="s">
        <v>869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43</v>
      </c>
      <c r="B93" s="9" t="s">
        <v>848</v>
      </c>
      <c r="C93" s="9" t="s">
        <v>849</v>
      </c>
      <c r="D93" s="9" t="s">
        <v>870</v>
      </c>
      <c r="E93" s="9" t="s">
        <v>871</v>
      </c>
      <c r="F93" s="9" t="s">
        <v>872</v>
      </c>
      <c r="G93" s="9" t="s">
        <v>873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43</v>
      </c>
      <c r="B94" s="9" t="s">
        <v>874</v>
      </c>
      <c r="C94" s="9" t="s">
        <v>875</v>
      </c>
      <c r="D94" s="9" t="s">
        <v>876</v>
      </c>
      <c r="E94" s="9" t="s">
        <v>877</v>
      </c>
      <c r="F94" s="9" t="s">
        <v>878</v>
      </c>
      <c r="G94" s="9" t="s">
        <v>879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43</v>
      </c>
      <c r="B95" s="9" t="s">
        <v>874</v>
      </c>
      <c r="C95" s="9" t="s">
        <v>875</v>
      </c>
      <c r="D95" s="9" t="s">
        <v>880</v>
      </c>
      <c r="E95" s="9" t="s">
        <v>881</v>
      </c>
      <c r="F95" s="9" t="s">
        <v>882</v>
      </c>
      <c r="G95" s="9" t="s">
        <v>883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43</v>
      </c>
      <c r="B96" s="9" t="s">
        <v>874</v>
      </c>
      <c r="C96" s="9" t="s">
        <v>875</v>
      </c>
      <c r="D96" s="9" t="s">
        <v>884</v>
      </c>
      <c r="E96" s="9" t="s">
        <v>885</v>
      </c>
      <c r="F96" s="9" t="s">
        <v>886</v>
      </c>
      <c r="G96" s="9" t="s">
        <v>887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888</v>
      </c>
      <c r="C97" s="9" t="s">
        <v>889</v>
      </c>
      <c r="D97" s="9" t="s">
        <v>890</v>
      </c>
      <c r="E97" s="9" t="s">
        <v>891</v>
      </c>
      <c r="F97" s="9" t="s">
        <v>892</v>
      </c>
      <c r="G97" s="9" t="s">
        <v>893</v>
      </c>
      <c r="L97" s="13">
        <f>$I$45*$L$45</f>
        <v>0</v>
      </c>
      <c r="M97" s="13">
        <f>$I$45*$M$45</f>
        <v>1.781880509700855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93.872973779415389</v>
      </c>
      <c r="R97" s="13">
        <f>$I$45*$R$45</f>
        <v>14.814323959677926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369.38771013850214</v>
      </c>
      <c r="Y97" s="13">
        <f>$I$45*$Y$45</f>
        <v>0</v>
      </c>
      <c r="Z97" s="13">
        <f>$I$45*$Z$45</f>
        <v>0</v>
      </c>
      <c r="AA97" s="13">
        <f>$I$45*$AA$45</f>
        <v>1346.6765677275096</v>
      </c>
      <c r="AB97" s="13">
        <f ca="1">$I$45*$AB$45</f>
        <v>0</v>
      </c>
      <c r="AC97" s="13">
        <f ca="1">$I$45*$AC$45</f>
        <v>0</v>
      </c>
      <c r="AD97" s="13">
        <f>$I$45*$AD$45</f>
        <v>12.768060894017019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1.3611531671429979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55.293819120554808</v>
      </c>
      <c r="AO97" s="13">
        <f>$I$45*$AO$45</f>
        <v>8.7620095971523639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390.17613634731288</v>
      </c>
      <c r="AV97" s="13">
        <f>$I$45*$AV$45</f>
        <v>0</v>
      </c>
      <c r="AW97" s="13">
        <f>$I$45*$AW$45</f>
        <v>0</v>
      </c>
      <c r="AX97" s="13">
        <f>$I$45*$AX$45</f>
        <v>1163.4924302375584</v>
      </c>
      <c r="AY97" s="13">
        <f>$I$45*$AY$45</f>
        <v>0</v>
      </c>
      <c r="AZ97" s="13">
        <f>$I$45*$AZ$45</f>
        <v>0</v>
      </c>
      <c r="BA97" s="13">
        <f>$I$45*$BA$45</f>
        <v>17.887645486595787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888</v>
      </c>
      <c r="C98" s="9" t="s">
        <v>889</v>
      </c>
      <c r="D98" s="9" t="s">
        <v>890</v>
      </c>
      <c r="E98" s="9" t="s">
        <v>891</v>
      </c>
      <c r="F98" s="9" t="s">
        <v>892</v>
      </c>
      <c r="G98" s="9" t="s">
        <v>894</v>
      </c>
      <c r="L98" s="13">
        <f>$I$46*$L$46</f>
        <v>0</v>
      </c>
      <c r="M98" s="13">
        <f>$I$46*$M$46</f>
        <v>2.793399144906981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147.16176716547457</v>
      </c>
      <c r="R98" s="13">
        <f>$I$46*$R$46</f>
        <v>23.22395898941992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347.43218036625535</v>
      </c>
      <c r="Y98" s="13">
        <f>$I$46*$Y$46</f>
        <v>0</v>
      </c>
      <c r="Z98" s="13">
        <f>$I$46*$Z$46</f>
        <v>0</v>
      </c>
      <c r="AA98" s="13">
        <f>$I$46*$AA$46</f>
        <v>1266.6861101501411</v>
      </c>
      <c r="AB98" s="13">
        <f ca="1">$I$46*$AB$46</f>
        <v>0</v>
      </c>
      <c r="AC98" s="13">
        <f ca="1">$I$46*$AC$46</f>
        <v>0</v>
      </c>
      <c r="AD98" s="13">
        <f>$I$46*$AD$46</f>
        <v>20.016095461673306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2.1338378597692875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86.682415688990105</v>
      </c>
      <c r="AO98" s="13">
        <f>$I$46*$AO$46</f>
        <v>13.735932338392999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367.01778249934671</v>
      </c>
      <c r="AV98" s="13">
        <f>$I$46*$AV$46</f>
        <v>0</v>
      </c>
      <c r="AW98" s="13">
        <f>$I$46*$AW$46</f>
        <v>0</v>
      </c>
      <c r="AX98" s="13">
        <f>$I$46*$AX$46</f>
        <v>1094.3829226653249</v>
      </c>
      <c r="AY98" s="13">
        <f>$I$46*$AY$46</f>
        <v>0</v>
      </c>
      <c r="AZ98" s="13">
        <f>$I$46*$AZ$46</f>
        <v>0</v>
      </c>
      <c r="BA98" s="13">
        <f>$I$46*$BA$46</f>
        <v>28.041910405678376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888</v>
      </c>
      <c r="C99" s="9" t="s">
        <v>889</v>
      </c>
      <c r="D99" s="9" t="s">
        <v>890</v>
      </c>
      <c r="E99" s="9" t="s">
        <v>891</v>
      </c>
      <c r="F99" s="9" t="s">
        <v>892</v>
      </c>
      <c r="G99" s="9" t="s">
        <v>895</v>
      </c>
      <c r="L99" s="13">
        <f>$I$47*$L$47</f>
        <v>0</v>
      </c>
      <c r="M99" s="13">
        <f>$I$47*$M$47</f>
        <v>122.76218879991684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6467.3538251186728</v>
      </c>
      <c r="R99" s="13">
        <f>$I$47*$R$47</f>
        <v>1020.628950695706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5091.6796230114896</v>
      </c>
      <c r="Y99" s="13">
        <f>$I$47*$Y$47</f>
        <v>0</v>
      </c>
      <c r="Z99" s="13">
        <f>$I$47*$Z$47</f>
        <v>0</v>
      </c>
      <c r="AA99" s="13">
        <f>$I$47*$AA$47</f>
        <v>18555.794819067476</v>
      </c>
      <c r="AB99" s="13">
        <f ca="1">$I$47*$AB$47</f>
        <v>0</v>
      </c>
      <c r="AC99" s="13">
        <f ca="1">$I$47*$AC$47</f>
        <v>0</v>
      </c>
      <c r="AD99" s="13">
        <f>$I$47*$AD$47</f>
        <v>879.65219527727811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93.776289252115006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3809.4531173055934</v>
      </c>
      <c r="AO99" s="13">
        <f>$I$47*$AO$47</f>
        <v>603.65634540381313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5373.9063269527478</v>
      </c>
      <c r="AV99" s="13">
        <f>$I$47*$AV$47</f>
        <v>0</v>
      </c>
      <c r="AW99" s="13">
        <f>$I$47*$AW$47</f>
        <v>0</v>
      </c>
      <c r="AX99" s="13">
        <f>$I$47*$AX$47</f>
        <v>16031.703789580106</v>
      </c>
      <c r="AY99" s="13">
        <f>$I$47*$AY$47</f>
        <v>0</v>
      </c>
      <c r="AZ99" s="13">
        <f>$I$47*$AZ$47</f>
        <v>0</v>
      </c>
      <c r="BA99" s="13">
        <f>$I$47*$BA$47</f>
        <v>1232.3646285238892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896</v>
      </c>
      <c r="C100" s="9" t="s">
        <v>897</v>
      </c>
      <c r="D100" s="9" t="s">
        <v>898</v>
      </c>
      <c r="E100" s="9" t="s">
        <v>899</v>
      </c>
      <c r="F100" s="9" t="s">
        <v>900</v>
      </c>
      <c r="G100" s="9" t="s">
        <v>901</v>
      </c>
      <c r="L100" s="13">
        <f>$I$48*$L$48</f>
        <v>0</v>
      </c>
      <c r="M100" s="13">
        <f>$I$48*$M$48</f>
        <v>24437.122960870143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1287395.7543512448</v>
      </c>
      <c r="R100" s="13">
        <f>$I$48*$R$48</f>
        <v>203167.07782251379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1490296.1531969346</v>
      </c>
      <c r="Y100" s="13">
        <f>$I$48*$Y$48</f>
        <v>0</v>
      </c>
      <c r="Z100" s="13">
        <f>$I$48*$Z$48</f>
        <v>0</v>
      </c>
      <c r="AA100" s="13">
        <f>$I$48*$AA$48</f>
        <v>5431950.9487811783</v>
      </c>
      <c r="AB100" s="13">
        <f ca="1">$I$48*$AB$48</f>
        <v>0</v>
      </c>
      <c r="AC100" s="13">
        <f ca="1">$I$48*$AC$48</f>
        <v>0</v>
      </c>
      <c r="AD100" s="13">
        <f>$I$48*$AD$48</f>
        <v>175104.15111468558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18667.170516184313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758312.27148444194</v>
      </c>
      <c r="AO100" s="13">
        <f>$I$48*$AO$48</f>
        <v>120164.23365328976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1550116.2616122637</v>
      </c>
      <c r="AV100" s="13">
        <f>$I$48*$AV$48</f>
        <v>0</v>
      </c>
      <c r="AW100" s="13">
        <f>$I$48*$AW$48</f>
        <v>0</v>
      </c>
      <c r="AX100" s="13">
        <f>$I$48*$AX$48</f>
        <v>4625048.1939262562</v>
      </c>
      <c r="AY100" s="13">
        <f>$I$48*$AY$48</f>
        <v>0</v>
      </c>
      <c r="AZ100" s="13">
        <f>$I$48*$AZ$48</f>
        <v>0</v>
      </c>
      <c r="BA100" s="13">
        <f>$I$48*$BA$48</f>
        <v>245315.32269230555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902</v>
      </c>
      <c r="C101" s="9" t="s">
        <v>903</v>
      </c>
      <c r="D101" s="9" t="s">
        <v>904</v>
      </c>
      <c r="E101" s="9" t="s">
        <v>905</v>
      </c>
      <c r="F101" s="9" t="s">
        <v>906</v>
      </c>
      <c r="G101" s="9" t="s">
        <v>907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46</v>
      </c>
      <c r="B102" s="9" t="s">
        <v>908</v>
      </c>
      <c r="C102" s="9" t="s">
        <v>909</v>
      </c>
      <c r="D102" s="9" t="s">
        <v>910</v>
      </c>
      <c r="E102" s="9" t="s">
        <v>911</v>
      </c>
      <c r="F102" s="9" t="s">
        <v>912</v>
      </c>
      <c r="G102" s="9" t="s">
        <v>913</v>
      </c>
      <c r="L102" s="13">
        <f>$I$50*$L$50</f>
        <v>0</v>
      </c>
      <c r="M102" s="13">
        <f>$I$50*$M$50</f>
        <v>4731.6699813991463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249273.69129330566</v>
      </c>
      <c r="R102" s="13">
        <f>$I$50*$R$50</f>
        <v>39338.491887145734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288560.54711382726</v>
      </c>
      <c r="Y102" s="13">
        <f>$I$50*$Y$50</f>
        <v>0</v>
      </c>
      <c r="Z102" s="13">
        <f>$I$50*$Z$50</f>
        <v>0</v>
      </c>
      <c r="AA102" s="13">
        <f>$I$50*$AA$50</f>
        <v>1051768.6261977761</v>
      </c>
      <c r="AB102" s="13">
        <f ca="1">$I$50*$AB$50</f>
        <v>0</v>
      </c>
      <c r="AC102" s="13">
        <f ca="1">$I$50*$AC$50</f>
        <v>0</v>
      </c>
      <c r="AD102" s="13">
        <f>$I$50*$AD$50</f>
        <v>33904.770900176205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3614.4553722842734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146829.20805591327</v>
      </c>
      <c r="AO102" s="13">
        <f>$I$50*$AO$50</f>
        <v>23266.957330678317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300143.29405691283</v>
      </c>
      <c r="AV102" s="13">
        <f>$I$50*$AV$50</f>
        <v>0</v>
      </c>
      <c r="AW102" s="13">
        <f>$I$50*$AW$50</f>
        <v>0</v>
      </c>
      <c r="AX102" s="13">
        <f>$I$50*$AX$50</f>
        <v>895531.02207519358</v>
      </c>
      <c r="AY102" s="13">
        <f>$I$50*$AY$50</f>
        <v>0</v>
      </c>
      <c r="AZ102" s="13">
        <f>$I$50*$AZ$50</f>
        <v>0</v>
      </c>
      <c r="BA102" s="13">
        <f>$I$50*$BA$50</f>
        <v>47499.501075436652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46</v>
      </c>
      <c r="B103" s="9" t="s">
        <v>908</v>
      </c>
      <c r="C103" s="9" t="s">
        <v>909</v>
      </c>
      <c r="D103" s="9" t="s">
        <v>914</v>
      </c>
      <c r="E103" s="9" t="s">
        <v>915</v>
      </c>
      <c r="F103" s="9" t="s">
        <v>916</v>
      </c>
      <c r="G103" s="9" t="s">
        <v>917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C9A3-7459-4F12-ABEB-61DED34E1CDB}">
  <dimension ref="A1:AH83"/>
  <sheetViews>
    <sheetView showGridLines="0" topLeftCell="L29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62</v>
      </c>
      <c r="B1" s="100" t="s">
        <v>63</v>
      </c>
      <c r="C1" s="100" t="s">
        <v>64</v>
      </c>
      <c r="D1" s="100" t="s">
        <v>65</v>
      </c>
      <c r="E1" s="100" t="s">
        <v>66</v>
      </c>
      <c r="F1" s="100" t="s">
        <v>15</v>
      </c>
      <c r="G1" s="100" t="s">
        <v>68</v>
      </c>
      <c r="H1" s="100" t="s">
        <v>69</v>
      </c>
      <c r="I1" s="100" t="s">
        <v>547</v>
      </c>
      <c r="J1" s="85"/>
      <c r="L1" s="101" t="s">
        <v>918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919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474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474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447</v>
      </c>
      <c r="M3" s="101"/>
      <c r="N3" s="101"/>
      <c r="O3" s="101"/>
      <c r="P3" s="101"/>
      <c r="Q3" s="30" t="s">
        <v>478</v>
      </c>
      <c r="R3" s="101" t="s">
        <v>456</v>
      </c>
      <c r="S3" s="101"/>
      <c r="T3" s="101"/>
      <c r="U3" s="30" t="s">
        <v>466</v>
      </c>
      <c r="V3" s="30" t="s">
        <v>469</v>
      </c>
      <c r="X3" s="101" t="s">
        <v>447</v>
      </c>
      <c r="Y3" s="101"/>
      <c r="Z3" s="101"/>
      <c r="AA3" s="101"/>
      <c r="AB3" s="101"/>
      <c r="AC3" s="30" t="s">
        <v>478</v>
      </c>
      <c r="AD3" s="101" t="s">
        <v>456</v>
      </c>
      <c r="AE3" s="101"/>
      <c r="AF3" s="101"/>
      <c r="AG3" s="30" t="s">
        <v>466</v>
      </c>
      <c r="AH3" s="30" t="s">
        <v>469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449</v>
      </c>
      <c r="M4" s="30" t="s">
        <v>475</v>
      </c>
      <c r="N4" s="30" t="s">
        <v>476</v>
      </c>
      <c r="O4" s="30" t="s">
        <v>535</v>
      </c>
      <c r="P4" s="30" t="s">
        <v>477</v>
      </c>
      <c r="Q4" s="30" t="s">
        <v>479</v>
      </c>
      <c r="R4" s="30" t="s">
        <v>480</v>
      </c>
      <c r="S4" s="30" t="s">
        <v>481</v>
      </c>
      <c r="T4" s="30" t="s">
        <v>482</v>
      </c>
      <c r="U4" s="30" t="s">
        <v>467</v>
      </c>
      <c r="V4" s="30" t="s">
        <v>483</v>
      </c>
      <c r="X4" s="30" t="s">
        <v>449</v>
      </c>
      <c r="Y4" s="30" t="s">
        <v>475</v>
      </c>
      <c r="Z4" s="30" t="s">
        <v>476</v>
      </c>
      <c r="AA4" s="30" t="s">
        <v>535</v>
      </c>
      <c r="AB4" s="30" t="s">
        <v>477</v>
      </c>
      <c r="AC4" s="30" t="s">
        <v>479</v>
      </c>
      <c r="AD4" s="30" t="s">
        <v>480</v>
      </c>
      <c r="AE4" s="30" t="s">
        <v>481</v>
      </c>
      <c r="AF4" s="30" t="s">
        <v>482</v>
      </c>
      <c r="AG4" s="30" t="s">
        <v>467</v>
      </c>
      <c r="AH4" s="30" t="s">
        <v>483</v>
      </c>
    </row>
    <row r="5" spans="1:34" ht="11.25" customHeight="1" x14ac:dyDescent="0.25">
      <c r="A5" s="99" t="s">
        <v>35</v>
      </c>
      <c r="B5" s="99" t="s">
        <v>71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73</v>
      </c>
      <c r="H5" s="29" t="s">
        <v>72</v>
      </c>
      <c r="I5" s="29">
        <f>'MERCADO TE'!$U$2</f>
        <v>1509.6429999999996</v>
      </c>
      <c r="J5" s="15"/>
      <c r="L5" s="26">
        <f>('TE BE'!$L$5+'TE BF'!$L$5+'TE CVA'!$L$5)*1</f>
        <v>0</v>
      </c>
      <c r="M5" s="26">
        <f>('TE BE'!$M$5+'TE BF'!$M$5+'TE CVA'!$M$5)*1</f>
        <v>0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0</v>
      </c>
      <c r="Q5" s="26">
        <f>('TE BE'!$R$5+'TE BF'!$R$5+'TE CVA'!$R$5)*1</f>
        <v>136.62265710865657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150.26161602882601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99"/>
      <c r="B6" s="99"/>
      <c r="C6" s="99"/>
      <c r="D6" s="99"/>
      <c r="E6" s="99"/>
      <c r="F6" s="99"/>
      <c r="G6" s="29" t="s">
        <v>74</v>
      </c>
      <c r="H6" s="29" t="s">
        <v>72</v>
      </c>
      <c r="I6" s="29">
        <f>'MERCADO TE'!$U$3</f>
        <v>88874.944999999992</v>
      </c>
      <c r="J6" s="15"/>
      <c r="L6" s="26">
        <f>('TE BE'!$L$6+'TE BF'!$L$6+'TE CVA'!$L$6)*1</f>
        <v>0</v>
      </c>
      <c r="M6" s="26">
        <f>('TE BE'!$M$6+'TE BF'!$M$6+'TE CVA'!$M$6)*1</f>
        <v>0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0</v>
      </c>
      <c r="Q6" s="26">
        <f>('TE BE'!$R$6+'TE BF'!$R$6+'TE CVA'!$R$6)*1</f>
        <v>136.62265710865657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150.26161602882601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99" t="s">
        <v>22</v>
      </c>
      <c r="B7" s="99" t="s">
        <v>71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0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0</v>
      </c>
      <c r="Q7" s="26">
        <f>('TE BE'!$R$7+'TE BF'!$R$7+'TE CVA'!$R$7)*1</f>
        <v>136.62265710865657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150.26161602882601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72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0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0</v>
      </c>
      <c r="Q8" s="26">
        <f>('TE BE'!$R$8+'TE BF'!$R$8+'TE CVA'!$R$8)*1</f>
        <v>136.62265710865657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150.26161602882601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99"/>
      <c r="B9" s="99"/>
      <c r="C9" s="99"/>
      <c r="D9" s="99"/>
      <c r="E9" s="99"/>
      <c r="F9" s="99"/>
      <c r="G9" s="29" t="s">
        <v>74</v>
      </c>
      <c r="H9" s="29" t="s">
        <v>72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0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0</v>
      </c>
      <c r="Q9" s="26">
        <f>('TE BE'!$R$9+'TE BF'!$R$9+'TE CVA'!$R$9)*1</f>
        <v>136.62265710865657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150.26161602882601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72</v>
      </c>
      <c r="I10" s="29">
        <f>'MERCADO TE'!$U$7</f>
        <v>30172.235000000001</v>
      </c>
      <c r="J10" s="15"/>
      <c r="L10" s="26">
        <f>('TE BE'!$L$10+'TE BF'!$L$10+'TE CVA'!$L$10)*1</f>
        <v>0</v>
      </c>
      <c r="M10" s="26">
        <f>('TE BE'!$M$10+'TE BF'!$M$10+'TE CVA'!$M$10)*1</f>
        <v>0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0</v>
      </c>
      <c r="Q10" s="26">
        <f>('TE BE'!$R$10+'TE BF'!$R$10+'TE CVA'!$R$10)*1</f>
        <v>136.62265710865657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150.26161602882601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72</v>
      </c>
      <c r="I11" s="29">
        <f>'MERCADO TE'!$U$8</f>
        <v>191.77800000000005</v>
      </c>
      <c r="J11" s="15"/>
      <c r="L11" s="26">
        <f>('TE BE'!$L$11+'TE BF'!$L$11+'TE CVA'!$L$11)*(1 - 0.65)</f>
        <v>0</v>
      </c>
      <c r="M11" s="26">
        <f>('TE BE'!$M$11+'TE BF'!$M$11+'TE CVA'!$M$11)*(1 - 0.65)</f>
        <v>0</v>
      </c>
      <c r="N11" s="26">
        <f>('TE BE'!$N$11+'TE BF'!$N$11+'TE CVA'!$N$11)*(1 - 0.65)</f>
        <v>0</v>
      </c>
      <c r="O11" s="26">
        <f>('TE BE'!$O$11+'TE BF'!$O$11+'TE CVA'!$O$11)*(1 - 0.65)</f>
        <v>0</v>
      </c>
      <c r="P11" s="26">
        <f>('TE BE'!$P$11+'TE BF'!$P$11+'TE CVA'!$P$11)*(1 - 0.65)</f>
        <v>0</v>
      </c>
      <c r="Q11" s="26">
        <f>('TE BE'!$R$11+'TE BF'!$R$11+'TE CVA'!$R$11)*(1 - 0.65)</f>
        <v>47.817929988029796</v>
      </c>
      <c r="R11" s="26">
        <f>('TE BE'!$T$11+'TE BF'!$T$11+'TE CVA'!$T$11)*(1 - 0.65)</f>
        <v>0</v>
      </c>
      <c r="S11" s="26">
        <f>('TE BE'!$U$11+'TE BF'!$U$11+'TE CVA'!$U$11)*(1 - 0.65)</f>
        <v>0</v>
      </c>
      <c r="T11" s="26">
        <f>('TE BE'!$V$11+'TE BF'!$V$11+'TE CVA'!$V$11)*(1 - 0.65)</f>
        <v>0</v>
      </c>
      <c r="U11" s="26">
        <f>('TE BE'!$X$11+'TE BF'!$X$11+'TE CVA'!$X$11)*(1 - 0.65)</f>
        <v>0</v>
      </c>
      <c r="V11" s="26">
        <f>('TE BE'!$Z$11+'TE BF'!$Z$11+'TE CVA'!$Z$11)*(1 - 0.65)</f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52.591565610088999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72</v>
      </c>
      <c r="I12" s="29">
        <f>'MERCADO TE'!$U$9</f>
        <v>421.79500000000002</v>
      </c>
      <c r="J12" s="15"/>
      <c r="L12" s="26">
        <f>('TE BE'!$L$12+'TE BF'!$L$12+'TE CVA'!$L$12)*(1 - 0.4)</f>
        <v>0</v>
      </c>
      <c r="M12" s="26">
        <f>('TE BE'!$M$12+'TE BF'!$M$12+'TE CVA'!$M$12)*(1 - 0.4)</f>
        <v>0</v>
      </c>
      <c r="N12" s="26">
        <f>('TE BE'!$N$12+'TE BF'!$N$12+'TE CVA'!$N$12)*(1 - 0.4)</f>
        <v>0</v>
      </c>
      <c r="O12" s="26">
        <f>('TE BE'!$O$12+'TE BF'!$O$12+'TE CVA'!$O$12)*(1 - 0.4)</f>
        <v>0</v>
      </c>
      <c r="P12" s="26">
        <f>('TE BE'!$P$12+'TE BF'!$P$12+'TE CVA'!$P$12)*(1 - 0.4)</f>
        <v>0</v>
      </c>
      <c r="Q12" s="26">
        <f>('TE BE'!$R$12+'TE BF'!$R$12+'TE CVA'!$R$12)*(1 - 0.4)</f>
        <v>81.973594265193938</v>
      </c>
      <c r="R12" s="26">
        <f>('TE BE'!$T$12+'TE BF'!$T$12+'TE CVA'!$T$12)*(1 - 0.4)</f>
        <v>0</v>
      </c>
      <c r="S12" s="26">
        <f>('TE BE'!$U$12+'TE BF'!$U$12+'TE CVA'!$U$12)*(1 - 0.4)</f>
        <v>0</v>
      </c>
      <c r="T12" s="26">
        <f>('TE BE'!$V$12+'TE BF'!$V$12+'TE CVA'!$V$12)*(1 - 0.4)</f>
        <v>0</v>
      </c>
      <c r="U12" s="26">
        <f>('TE BE'!$X$12+'TE BF'!$X$12+'TE CVA'!$X$12)*(1 - 0.4)</f>
        <v>0</v>
      </c>
      <c r="V12" s="26">
        <f>('TE BE'!$Z$12+'TE BF'!$Z$12+'TE CVA'!$Z$12)*(1 - 0.4)</f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90.156969617295402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72</v>
      </c>
      <c r="I13" s="29">
        <f>'MERCADO TE'!$U$10</f>
        <v>486.94200000000001</v>
      </c>
      <c r="J13" s="15"/>
      <c r="L13" s="26">
        <f>('TE BE'!$L$13+'TE BF'!$L$13+'TE CVA'!$L$13)*(1 - 0.1)</f>
        <v>0</v>
      </c>
      <c r="M13" s="26">
        <f>('TE BE'!$M$13+'TE BF'!$M$13+'TE CVA'!$M$13)*(1 - 0.1)</f>
        <v>0</v>
      </c>
      <c r="N13" s="26">
        <f>('TE BE'!$N$13+'TE BF'!$N$13+'TE CVA'!$N$13)*(1 - 0.1)</f>
        <v>0</v>
      </c>
      <c r="O13" s="26">
        <f>('TE BE'!$O$13+'TE BF'!$O$13+'TE CVA'!$O$13)*(1 - 0.1)</f>
        <v>0</v>
      </c>
      <c r="P13" s="26">
        <f>('TE BE'!$P$13+'TE BF'!$P$13+'TE CVA'!$P$13)*(1 - 0.1)</f>
        <v>0</v>
      </c>
      <c r="Q13" s="26">
        <f>('TE BE'!$R$13+'TE BF'!$R$13+'TE CVA'!$R$13)*(1 - 0.1)</f>
        <v>122.96039139779091</v>
      </c>
      <c r="R13" s="26">
        <f>('TE BE'!$T$13+'TE BF'!$T$13+'TE CVA'!$T$13)*(1 - 0.1)</f>
        <v>0</v>
      </c>
      <c r="S13" s="26">
        <f>('TE BE'!$U$13+'TE BF'!$U$13+'TE CVA'!$U$13)*(1 - 0.1)</f>
        <v>0</v>
      </c>
      <c r="T13" s="26">
        <f>('TE BE'!$V$13+'TE BF'!$V$13+'TE CVA'!$V$13)*(1 - 0.1)</f>
        <v>0</v>
      </c>
      <c r="U13" s="26">
        <f>('TE BE'!$X$13+'TE BF'!$X$13+'TE CVA'!$X$13)*(1 - 0.1)</f>
        <v>0</v>
      </c>
      <c r="V13" s="26">
        <f>('TE BE'!$Z$13+'TE BF'!$Z$13+'TE CVA'!$Z$13)*(1 - 0.1)</f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135.235454425943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72</v>
      </c>
      <c r="I14" s="29">
        <f>'MERCADO TE'!$U$11</f>
        <v>233.18899999999999</v>
      </c>
      <c r="J14" s="15"/>
      <c r="L14" s="26">
        <f>('TE BE'!$L$14+'TE BF'!$L$14+'TE CVA'!$L$14)*1</f>
        <v>0</v>
      </c>
      <c r="M14" s="26">
        <f>('TE BE'!$M$14+'TE BF'!$M$14+'TE CVA'!$M$14)*1</f>
        <v>0</v>
      </c>
      <c r="N14" s="26">
        <f>('TE BE'!$N$14+'TE BF'!$N$14+'TE CVA'!$N$14)*1</f>
        <v>0</v>
      </c>
      <c r="O14" s="26">
        <f>('TE BE'!$O$14+'TE BF'!$O$14+'TE CVA'!$O$14)*1</f>
        <v>0</v>
      </c>
      <c r="P14" s="26">
        <f>('TE BE'!$P$14+'TE BF'!$P$14+'TE CVA'!$P$14)*1</f>
        <v>0</v>
      </c>
      <c r="Q14" s="26">
        <f>('TE BE'!$R$14+'TE BF'!$R$14+'TE CVA'!$R$14)*1</f>
        <v>136.62265710865657</v>
      </c>
      <c r="R14" s="26">
        <f>('TE BE'!$T$14+'TE BF'!$T$14+'TE CVA'!$T$14)*1</f>
        <v>0</v>
      </c>
      <c r="S14" s="26">
        <f>('TE BE'!$U$14+'TE BF'!$U$14+'TE CVA'!$U$14)*1</f>
        <v>0</v>
      </c>
      <c r="T14" s="26">
        <f>('TE BE'!$V$14+'TE BF'!$V$14+'TE CVA'!$V$14)*1</f>
        <v>0</v>
      </c>
      <c r="U14" s="26">
        <f>('TE BE'!$X$14+'TE BF'!$X$14+'TE CVA'!$X$14)*1</f>
        <v>0</v>
      </c>
      <c r="V14" s="26">
        <f>('TE BE'!$Z$14+'TE BF'!$Z$14+'TE CVA'!$Z$14)*1</f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150.26161602882601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72</v>
      </c>
      <c r="I15" s="29">
        <f>'MERCADO TE'!$U$12</f>
        <v>0</v>
      </c>
      <c r="J15" s="15"/>
      <c r="L15" s="26">
        <f>('TE BE'!$L$15+'TE BF'!$L$15+'TE CVA'!$L$15)*1</f>
        <v>0</v>
      </c>
      <c r="M15" s="26">
        <f>('TE BE'!$M$15+'TE BF'!$M$15+'TE CVA'!$M$15)*1</f>
        <v>0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0</v>
      </c>
      <c r="Q15" s="26">
        <f>('TE BE'!$R$15+'TE BF'!$R$15+'TE CVA'!$R$15)*1</f>
        <v>136.62265710865657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0</v>
      </c>
      <c r="V15" s="26">
        <f>('TE BE'!$Z$15+'TE BF'!$Z$15+'TE CVA'!$Z$15)*1</f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150.26161602882601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72</v>
      </c>
      <c r="I16" s="29">
        <f>'MERCADO TE'!$U$13</f>
        <v>0</v>
      </c>
      <c r="J16" s="15"/>
      <c r="L16" s="26">
        <f>('TE BE'!$L$16+'TE BF'!$L$16+'TE CVA'!$L$16)*(1 - 0.65)</f>
        <v>0</v>
      </c>
      <c r="M16" s="26">
        <f>('TE BE'!$M$16+'TE BF'!$M$16+'TE CVA'!$M$16)*(1 - 0.65)</f>
        <v>0</v>
      </c>
      <c r="N16" s="26">
        <f>('TE BE'!$N$16+'TE BF'!$N$16+'TE CVA'!$N$16)*(1 - 0.65)</f>
        <v>0</v>
      </c>
      <c r="O16" s="26">
        <f>('TE BE'!$O$16+'TE BF'!$O$16+'TE CVA'!$O$16)*(1 - 0.65)</f>
        <v>0</v>
      </c>
      <c r="P16" s="26">
        <f>('TE BE'!$P$16+'TE BF'!$P$16+'TE CVA'!$P$16)*(1 - 0.65)</f>
        <v>0</v>
      </c>
      <c r="Q16" s="26">
        <f>('TE BE'!$R$16+'TE BF'!$R$16+'TE CVA'!$R$16)*(1 - 0.65)</f>
        <v>47.817929988029796</v>
      </c>
      <c r="R16" s="26">
        <f>('TE BE'!$T$16+'TE BF'!$T$16+'TE CVA'!$T$16)*(1 - 0.65)</f>
        <v>0</v>
      </c>
      <c r="S16" s="26">
        <f>('TE BE'!$U$16+'TE BF'!$U$16+'TE CVA'!$U$16)*(1 - 0.65)</f>
        <v>0</v>
      </c>
      <c r="T16" s="26">
        <f>('TE BE'!$V$16+'TE BF'!$V$16+'TE CVA'!$V$16)*(1 - 0.65)</f>
        <v>0</v>
      </c>
      <c r="U16" s="26">
        <f>('TE BE'!$X$16+'TE BF'!$X$16+'TE CVA'!$X$16)*(1 - 0.65)</f>
        <v>0</v>
      </c>
      <c r="V16" s="26">
        <f>('TE BE'!$Z$16+'TE BF'!$Z$16+'TE CVA'!$Z$16)*(1 - 0.65)</f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52.591565610088999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72</v>
      </c>
      <c r="I17" s="29">
        <f>'MERCADO TE'!$U$14</f>
        <v>0</v>
      </c>
      <c r="J17" s="15"/>
      <c r="L17" s="26">
        <f>('TE BE'!$L$17+'TE BF'!$L$17+'TE CVA'!$L$17)*(1 - 0.4)</f>
        <v>0</v>
      </c>
      <c r="M17" s="26">
        <f>('TE BE'!$M$17+'TE BF'!$M$17+'TE CVA'!$M$17)*(1 - 0.4)</f>
        <v>0</v>
      </c>
      <c r="N17" s="26">
        <f>('TE BE'!$N$17+'TE BF'!$N$17+'TE CVA'!$N$17)*(1 - 0.4)</f>
        <v>0</v>
      </c>
      <c r="O17" s="26">
        <f>('TE BE'!$O$17+'TE BF'!$O$17+'TE CVA'!$O$17)*(1 - 0.4)</f>
        <v>0</v>
      </c>
      <c r="P17" s="26">
        <f>('TE BE'!$P$17+'TE BF'!$P$17+'TE CVA'!$P$17)*(1 - 0.4)</f>
        <v>0</v>
      </c>
      <c r="Q17" s="26">
        <f>('TE BE'!$R$17+'TE BF'!$R$17+'TE CVA'!$R$17)*(1 - 0.4)</f>
        <v>81.973594265193938</v>
      </c>
      <c r="R17" s="26">
        <f>('TE BE'!$T$17+'TE BF'!$T$17+'TE CVA'!$T$17)*(1 - 0.4)</f>
        <v>0</v>
      </c>
      <c r="S17" s="26">
        <f>('TE BE'!$U$17+'TE BF'!$U$17+'TE CVA'!$U$17)*(1 - 0.4)</f>
        <v>0</v>
      </c>
      <c r="T17" s="26">
        <f>('TE BE'!$V$17+'TE BF'!$V$17+'TE CVA'!$V$17)*(1 - 0.4)</f>
        <v>0</v>
      </c>
      <c r="U17" s="26">
        <f>('TE BE'!$X$17+'TE BF'!$X$17+'TE CVA'!$X$17)*(1 - 0.4)</f>
        <v>0</v>
      </c>
      <c r="V17" s="26">
        <f>('TE BE'!$Z$17+'TE BF'!$Z$17+'TE CVA'!$Z$17)*(1 - 0.4)</f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90.156969617295402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72</v>
      </c>
      <c r="I18" s="29">
        <f>'MERCADO TE'!$U$15</f>
        <v>0</v>
      </c>
      <c r="J18" s="15"/>
      <c r="L18" s="26">
        <f>('TE BE'!$L$18+'TE BF'!$L$18+'TE CVA'!$L$18)*(1 - 0.1)</f>
        <v>0</v>
      </c>
      <c r="M18" s="26">
        <f>('TE BE'!$M$18+'TE BF'!$M$18+'TE CVA'!$M$18)*(1 - 0.1)</f>
        <v>0</v>
      </c>
      <c r="N18" s="26">
        <f>('TE BE'!$N$18+'TE BF'!$N$18+'TE CVA'!$N$18)*(1 - 0.1)</f>
        <v>0</v>
      </c>
      <c r="O18" s="26">
        <f>('TE BE'!$O$18+'TE BF'!$O$18+'TE CVA'!$O$18)*(1 - 0.1)</f>
        <v>0</v>
      </c>
      <c r="P18" s="26">
        <f>('TE BE'!$P$18+'TE BF'!$P$18+'TE CVA'!$P$18)*(1 - 0.1)</f>
        <v>0</v>
      </c>
      <c r="Q18" s="26">
        <f>('TE BE'!$R$18+'TE BF'!$R$18+'TE CVA'!$R$18)*(1 - 0.1)</f>
        <v>122.96039139779091</v>
      </c>
      <c r="R18" s="26">
        <f>('TE BE'!$T$18+'TE BF'!$T$18+'TE CVA'!$T$18)*(1 - 0.1)</f>
        <v>0</v>
      </c>
      <c r="S18" s="26">
        <f>('TE BE'!$U$18+'TE BF'!$U$18+'TE CVA'!$U$18)*(1 - 0.1)</f>
        <v>0</v>
      </c>
      <c r="T18" s="26">
        <f>('TE BE'!$V$18+'TE BF'!$V$18+'TE CVA'!$V$18)*(1 - 0.1)</f>
        <v>0</v>
      </c>
      <c r="U18" s="26">
        <f>('TE BE'!$X$18+'TE BF'!$X$18+'TE CVA'!$X$18)*(1 - 0.1)</f>
        <v>0</v>
      </c>
      <c r="V18" s="26">
        <f>('TE BE'!$Z$18+'TE BF'!$Z$18+'TE CVA'!$Z$18)*(1 - 0.1)</f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135.235454425943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72</v>
      </c>
      <c r="I19" s="29">
        <f>'MERCADO TE'!$U$16</f>
        <v>0</v>
      </c>
      <c r="J19" s="15"/>
      <c r="L19" s="26">
        <f>('TE BE'!$L$19+'TE BF'!$L$19+'TE CVA'!$L$19)*1</f>
        <v>0</v>
      </c>
      <c r="M19" s="26">
        <f>('TE BE'!$M$19+'TE BF'!$M$19+'TE CVA'!$M$19)*1</f>
        <v>0</v>
      </c>
      <c r="N19" s="26">
        <f>('TE BE'!$N$19+'TE BF'!$N$19+'TE CVA'!$N$19)*1</f>
        <v>0</v>
      </c>
      <c r="O19" s="26">
        <f>('TE BE'!$O$19+'TE BF'!$O$19+'TE CVA'!$O$19)*1</f>
        <v>0</v>
      </c>
      <c r="P19" s="26">
        <f>('TE BE'!$P$19+'TE BF'!$P$19+'TE CVA'!$P$19)*1</f>
        <v>0</v>
      </c>
      <c r="Q19" s="26">
        <f>('TE BE'!$R$19+'TE BF'!$R$19+'TE CVA'!$R$19)*1</f>
        <v>136.62265710865657</v>
      </c>
      <c r="R19" s="26">
        <f>('TE BE'!$T$19+'TE BF'!$T$19+'TE CVA'!$T$19)*1</f>
        <v>0</v>
      </c>
      <c r="S19" s="26">
        <f>('TE BE'!$U$19+'TE BF'!$U$19+'TE CVA'!$U$19)*1</f>
        <v>0</v>
      </c>
      <c r="T19" s="26">
        <f>('TE BE'!$V$19+'TE BF'!$V$19+'TE CVA'!$V$19)*1</f>
        <v>0</v>
      </c>
      <c r="U19" s="26">
        <f>('TE BE'!$X$19+'TE BF'!$X$19+'TE CVA'!$X$19)*1</f>
        <v>0</v>
      </c>
      <c r="V19" s="26">
        <f>('TE BE'!$Z$19+'TE BF'!$Z$19+'TE CVA'!$Z$19)*1</f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150.26161602882601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99" t="s">
        <v>43</v>
      </c>
      <c r="B20" s="99" t="s">
        <v>71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('TE BE'!$L$20+'TE BF'!$L$20+'TE CVA'!$L$20)*(1 - CUSTOS!$M$38)</f>
        <v>0</v>
      </c>
      <c r="M20" s="26">
        <f>('TE BE'!$M$20+'TE BF'!$M$20+'TE CVA'!$M$20)*(1 - CUSTOS!$M$38)</f>
        <v>0</v>
      </c>
      <c r="N20" s="26">
        <f>('TE BE'!$N$20+'TE BF'!$N$20+'TE CVA'!$N$20)*(1 - CUSTOS!$M$38)</f>
        <v>0</v>
      </c>
      <c r="O20" s="26">
        <f>('TE BE'!$O$20+'TE BF'!$O$20+'TE CVA'!$O$20)*(1 - CUSTOS!$M$38)</f>
        <v>0</v>
      </c>
      <c r="P20" s="26">
        <f>('TE BE'!$P$20+'TE BF'!$P$20+'TE CVA'!$P$20)*(1 - CUSTOS!$M$38)</f>
        <v>0</v>
      </c>
      <c r="Q20" s="26">
        <f>('TE BE'!$R$20+'TE BF'!$R$20+'TE CVA'!$R$20)*(1 - CUSTOS!$M$38)</f>
        <v>128.42529768213717</v>
      </c>
      <c r="R20" s="26">
        <f>('TE BE'!$T$20+'TE BF'!$T$20+'TE CVA'!$T$20)*(1 - CUSTOS!$M$38)</f>
        <v>0</v>
      </c>
      <c r="S20" s="26">
        <f>('TE BE'!$U$20+'TE BF'!$U$20+'TE CVA'!$U$20)*(1 - CUSTOS!$M$38)</f>
        <v>0</v>
      </c>
      <c r="T20" s="26">
        <f>('TE BE'!$V$20+'TE BF'!$V$20+'TE CVA'!$V$20)*(1 - CUSTOS!$M$38)</f>
        <v>0</v>
      </c>
      <c r="U20" s="26">
        <f>('TE BE'!$X$20+'TE BF'!$X$20+'TE CVA'!$X$20)*(1 - CUSTOS!$M$38)</f>
        <v>0</v>
      </c>
      <c r="V20" s="26">
        <f>('TE BE'!$Z$20+'TE BF'!$Z$20+'TE CVA'!$Z$20)*(1 - CUSTOS!$M$38)</f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132.23022210536701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72</v>
      </c>
      <c r="I21" s="29">
        <f>'MERCADO TE'!$U$18</f>
        <v>0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0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0</v>
      </c>
      <c r="Q21" s="26">
        <f>('TE BE'!$R$21+'TE BF'!$R$21+'TE CVA'!$R$21)*(1 - CUSTOS!$M$38)</f>
        <v>128.42529768213717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0</v>
      </c>
      <c r="V21" s="26">
        <f>('TE BE'!$Z$21+'TE BF'!$Z$21+'TE CVA'!$Z$21)*(1 - CUSTOS!$M$38)</f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132.23022210536701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99"/>
      <c r="B22" s="99"/>
      <c r="C22" s="99"/>
      <c r="D22" s="99"/>
      <c r="E22" s="99"/>
      <c r="F22" s="99"/>
      <c r="G22" s="29" t="s">
        <v>74</v>
      </c>
      <c r="H22" s="29" t="s">
        <v>72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0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0</v>
      </c>
      <c r="Q22" s="26">
        <f>('TE BE'!$R$22+'TE BF'!$R$22+'TE CVA'!$R$22)*(1 - CUSTOS!$M$38)</f>
        <v>128.42529768213717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132.23022210536701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99"/>
      <c r="B23" s="28" t="s">
        <v>85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72</v>
      </c>
      <c r="I23" s="29">
        <f>'MERCADO TE'!$U$20</f>
        <v>3201.45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0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0</v>
      </c>
      <c r="Q23" s="26">
        <f>('TE BE'!$R$23+'TE BF'!$R$23+'TE CVA'!$R$23)*(1 - CUSTOS!$M$38)</f>
        <v>128.42529768213717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132.23022210536701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99"/>
      <c r="B24" s="99" t="s">
        <v>71</v>
      </c>
      <c r="C24" s="99" t="s">
        <v>44</v>
      </c>
      <c r="D24" s="99" t="s">
        <v>88</v>
      </c>
      <c r="E24" s="99" t="s">
        <v>25</v>
      </c>
      <c r="F24" s="99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('TE BE'!$L$24+'TE BF'!$L$24+'TE CVA'!$L$24)*(1 - CUSTOS!$M$39)</f>
        <v>0</v>
      </c>
      <c r="M24" s="26">
        <f>('TE BE'!$M$24+'TE BF'!$M$24+'TE CVA'!$M$24)*(1 - CUSTOS!$M$39)</f>
        <v>0</v>
      </c>
      <c r="N24" s="26">
        <f>('TE BE'!$N$24+'TE BF'!$N$24+'TE CVA'!$N$24)*(1 - CUSTOS!$M$39)</f>
        <v>0</v>
      </c>
      <c r="O24" s="26">
        <f>('TE BE'!$O$24+'TE BF'!$O$24+'TE CVA'!$O$24)*(1 - CUSTOS!$M$39)</f>
        <v>0</v>
      </c>
      <c r="P24" s="26">
        <f>('TE BE'!$P$24+'TE BF'!$P$24+'TE CVA'!$P$24)*(1 - CUSTOS!$M$39)</f>
        <v>0</v>
      </c>
      <c r="Q24" s="26">
        <f>('TE BE'!$R$24+'TE BF'!$R$24+'TE CVA'!$R$24)*(1 - CUSTOS!$M$39)</f>
        <v>128.42529768213717</v>
      </c>
      <c r="R24" s="26">
        <f>('TE BE'!$T$24+'TE BF'!$T$24+'TE CVA'!$T$24)*(1 - CUSTOS!$M$39)</f>
        <v>0</v>
      </c>
      <c r="S24" s="26">
        <f>('TE BE'!$U$24+'TE BF'!$U$24+'TE CVA'!$U$24)*(1 - CUSTOS!$M$39)</f>
        <v>0</v>
      </c>
      <c r="T24" s="26">
        <f>('TE BE'!$V$24+'TE BF'!$V$24+'TE CVA'!$V$24)*(1 - CUSTOS!$M$39)</f>
        <v>0</v>
      </c>
      <c r="U24" s="26">
        <f>('TE BE'!$X$24+'TE BF'!$X$24+'TE CVA'!$X$24)*(1 - CUSTOS!$M$39)</f>
        <v>0</v>
      </c>
      <c r="V24" s="26">
        <f>('TE BE'!$Z$24+'TE BF'!$Z$24+'TE CVA'!$Z$24)*(1 - CUSTOS!$M$39)</f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132.23022210536701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72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0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0</v>
      </c>
      <c r="Q25" s="26">
        <f>('TE BE'!$R$25+'TE BF'!$R$25+'TE CVA'!$R$25)*(1 - CUSTOS!$M$39)</f>
        <v>128.42529768213717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0</v>
      </c>
      <c r="V25" s="26">
        <f>('TE BE'!$Z$25+'TE BF'!$Z$25+'TE CVA'!$Z$25)*(1 - CUSTOS!$M$39)</f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132.23022210536701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99"/>
      <c r="B26" s="99"/>
      <c r="C26" s="99"/>
      <c r="D26" s="99"/>
      <c r="E26" s="99"/>
      <c r="F26" s="99"/>
      <c r="G26" s="29" t="s">
        <v>74</v>
      </c>
      <c r="H26" s="29" t="s">
        <v>72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0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0</v>
      </c>
      <c r="Q26" s="26">
        <f>('TE BE'!$R$26+'TE BF'!$R$26+'TE CVA'!$R$26)*(1 - CUSTOS!$M$39)</f>
        <v>128.42529768213717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132.23022210536701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99"/>
      <c r="B27" s="28" t="s">
        <v>85</v>
      </c>
      <c r="C27" s="28" t="s">
        <v>44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72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0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0</v>
      </c>
      <c r="Q27" s="26">
        <f>('TE BE'!$R$27+'TE BF'!$R$27+'TE CVA'!$R$27)*(1 - CUSTOS!$M$39)</f>
        <v>128.42529768213717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132.23022210536701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99"/>
      <c r="B28" s="99" t="s">
        <v>71</v>
      </c>
      <c r="C28" s="99" t="s">
        <v>44</v>
      </c>
      <c r="D28" s="99" t="s">
        <v>89</v>
      </c>
      <c r="E28" s="99" t="s">
        <v>25</v>
      </c>
      <c r="F28" s="99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('TE BE'!$L$28+'TE BF'!$L$28+'TE CVA'!$L$28)*(1 - CUSTOS!$M$40)</f>
        <v>0</v>
      </c>
      <c r="M28" s="26">
        <f>('TE BE'!$M$28+'TE BF'!$M$28+'TE CVA'!$M$28)*(1 - CUSTOS!$M$40)</f>
        <v>0</v>
      </c>
      <c r="N28" s="26">
        <f>('TE BE'!$N$28+'TE BF'!$N$28+'TE CVA'!$N$28)*(1 - CUSTOS!$M$40)</f>
        <v>0</v>
      </c>
      <c r="O28" s="26">
        <f>('TE BE'!$O$28+'TE BF'!$O$28+'TE CVA'!$O$28)*(1 - CUSTOS!$M$40)</f>
        <v>0</v>
      </c>
      <c r="P28" s="26">
        <f>('TE BE'!$P$28+'TE BF'!$P$28+'TE CVA'!$P$28)*(1 - CUSTOS!$M$40)</f>
        <v>0</v>
      </c>
      <c r="Q28" s="26">
        <f>('TE BE'!$R$28+'TE BF'!$R$28+'TE CVA'!$R$28)*(1 - CUSTOS!$M$40)</f>
        <v>125.69284453996404</v>
      </c>
      <c r="R28" s="26">
        <f>('TE BE'!$T$28+'TE BF'!$T$28+'TE CVA'!$T$28)*(1 - CUSTOS!$M$40)</f>
        <v>0</v>
      </c>
      <c r="S28" s="26">
        <f>('TE BE'!$U$28+'TE BF'!$U$28+'TE CVA'!$U$28)*(1 - CUSTOS!$M$40)</f>
        <v>0</v>
      </c>
      <c r="T28" s="26">
        <f>('TE BE'!$V$28+'TE BF'!$V$28+'TE CVA'!$V$28)*(1 - CUSTOS!$M$40)</f>
        <v>0</v>
      </c>
      <c r="U28" s="26">
        <f>('TE BE'!$X$28+'TE BF'!$X$28+'TE CVA'!$X$28)*(1 - CUSTOS!$M$40)</f>
        <v>0</v>
      </c>
      <c r="V28" s="26">
        <f>('TE BE'!$Z$28+'TE BF'!$Z$28+'TE CVA'!$Z$28)*(1 - CUSTOS!$M$40)</f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126.219757464214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72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0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0</v>
      </c>
      <c r="Q29" s="26">
        <f>('TE BE'!$R$29+'TE BF'!$R$29+'TE CVA'!$R$29)*(1 - CUSTOS!$M$40)</f>
        <v>125.69284453996404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0</v>
      </c>
      <c r="V29" s="26">
        <f>('TE BE'!$Z$29+'TE BF'!$Z$29+'TE CVA'!$Z$29)*(1 - CUSTOS!$M$40)</f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126.219757464214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99"/>
      <c r="B30" s="99"/>
      <c r="C30" s="99"/>
      <c r="D30" s="99"/>
      <c r="E30" s="99"/>
      <c r="F30" s="99"/>
      <c r="G30" s="29" t="s">
        <v>74</v>
      </c>
      <c r="H30" s="29" t="s">
        <v>72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0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0</v>
      </c>
      <c r="Q30" s="26">
        <f>('TE BE'!$R$30+'TE BF'!$R$30+'TE CVA'!$R$30)*(1 - CUSTOS!$M$40)</f>
        <v>125.69284453996404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126.219757464214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99"/>
      <c r="B31" s="28" t="s">
        <v>85</v>
      </c>
      <c r="C31" s="28" t="s">
        <v>44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72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0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0</v>
      </c>
      <c r="Q31" s="26">
        <f>('TE BE'!$R$31+'TE BF'!$R$31+'TE CVA'!$R$31)*(1 - CUSTOS!$M$40)</f>
        <v>125.69284453996404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126.219757464214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99"/>
      <c r="B32" s="99" t="s">
        <v>86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72</v>
      </c>
      <c r="I32" s="29">
        <f>'MERCADO TE'!$U$29</f>
        <v>0</v>
      </c>
      <c r="J32" s="15"/>
      <c r="L32" s="26">
        <f>('TE BE'!$L$32+'TE BF'!$L$32+'TE CVA'!$L$32)*(1 - CUSTOS!$M$38)</f>
        <v>0</v>
      </c>
      <c r="M32" s="26">
        <f>('TE BE'!$M$32+'TE BF'!$M$32+'TE CVA'!$M$32)*(1 - CUSTOS!$M$38)</f>
        <v>0</v>
      </c>
      <c r="N32" s="26">
        <f>('TE BE'!$N$32+'TE BF'!$N$32+'TE CVA'!$N$32)*(1 - CUSTOS!$M$38)</f>
        <v>0</v>
      </c>
      <c r="O32" s="26">
        <f>('TE BE'!$O$32+'TE BF'!$O$32+'TE CVA'!$O$32)*(1 - CUSTOS!$M$38)</f>
        <v>0</v>
      </c>
      <c r="P32" s="26">
        <f>('TE BE'!$P$32+'TE BF'!$P$32+'TE CVA'!$P$32)*(1 - CUSTOS!$M$38)</f>
        <v>0</v>
      </c>
      <c r="Q32" s="26">
        <f>('TE BE'!$R$32+'TE BF'!$R$32+'TE CVA'!$R$32)*(1 - CUSTOS!$M$38)</f>
        <v>128.42529768213717</v>
      </c>
      <c r="R32" s="26">
        <f>('TE BE'!$T$32+'TE BF'!$T$32+'TE CVA'!$T$32)*(1 - CUSTOS!$M$38)</f>
        <v>0</v>
      </c>
      <c r="S32" s="26">
        <f>('TE BE'!$U$32+'TE BF'!$U$32+'TE CVA'!$U$32)*(1 - CUSTOS!$M$38)</f>
        <v>0</v>
      </c>
      <c r="T32" s="26">
        <f>('TE BE'!$V$32+'TE BF'!$V$32+'TE CVA'!$V$32)*(1 - CUSTOS!$M$38)</f>
        <v>0</v>
      </c>
      <c r="U32" s="26">
        <f>('TE BE'!$X$32+'TE BF'!$X$32+'TE CVA'!$X$32)*(1 - CUSTOS!$M$38)</f>
        <v>0</v>
      </c>
      <c r="V32" s="26">
        <f>('TE BE'!$Z$32+'TE BF'!$Z$32+'TE CVA'!$Z$32)*(1 - CUSTOS!$M$38)</f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132.23022210536701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72</v>
      </c>
      <c r="I33" s="29">
        <f>'MERCADO TE'!$U$30</f>
        <v>0</v>
      </c>
      <c r="J33" s="15"/>
      <c r="L33" s="26">
        <f>('TE BE'!$L$33+'TE BF'!$L$33+'TE CVA'!$L$33)*(1 - CUSTOS!$M$39)</f>
        <v>0</v>
      </c>
      <c r="M33" s="26">
        <f>('TE BE'!$M$33+'TE BF'!$M$33+'TE CVA'!$M$33)*(1 - CUSTOS!$M$39)</f>
        <v>0</v>
      </c>
      <c r="N33" s="26">
        <f>('TE BE'!$N$33+'TE BF'!$N$33+'TE CVA'!$N$33)*(1 - CUSTOS!$M$39)</f>
        <v>0</v>
      </c>
      <c r="O33" s="26">
        <f>('TE BE'!$O$33+'TE BF'!$O$33+'TE CVA'!$O$33)*(1 - CUSTOS!$M$39)</f>
        <v>0</v>
      </c>
      <c r="P33" s="26">
        <f>('TE BE'!$P$33+'TE BF'!$P$33+'TE CVA'!$P$33)*(1 - CUSTOS!$M$39)</f>
        <v>0</v>
      </c>
      <c r="Q33" s="26">
        <f>('TE BE'!$R$33+'TE BF'!$R$33+'TE CVA'!$R$33)*(1 - CUSTOS!$M$39)</f>
        <v>128.42529768213717</v>
      </c>
      <c r="R33" s="26">
        <f>('TE BE'!$T$33+'TE BF'!$T$33+'TE CVA'!$T$33)*(1 - CUSTOS!$M$39)</f>
        <v>0</v>
      </c>
      <c r="S33" s="26">
        <f>('TE BE'!$U$33+'TE BF'!$U$33+'TE CVA'!$U$33)*(1 - CUSTOS!$M$39)</f>
        <v>0</v>
      </c>
      <c r="T33" s="26">
        <f>('TE BE'!$V$33+'TE BF'!$V$33+'TE CVA'!$V$33)*(1 - CUSTOS!$M$39)</f>
        <v>0</v>
      </c>
      <c r="U33" s="26">
        <f>('TE BE'!$X$33+'TE BF'!$X$33+'TE CVA'!$X$33)*(1 - CUSTOS!$M$39)</f>
        <v>0</v>
      </c>
      <c r="V33" s="26">
        <f>('TE BE'!$Z$33+'TE BF'!$Z$33+'TE CVA'!$Z$33)*(1 - CUSTOS!$M$39)</f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132.23022210536701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72</v>
      </c>
      <c r="I34" s="29">
        <f>'MERCADO TE'!$U$31</f>
        <v>0</v>
      </c>
      <c r="J34" s="15"/>
      <c r="L34" s="26">
        <f>('TE BE'!$L$34+'TE BF'!$L$34+'TE CVA'!$L$34)*(1 - CUSTOS!$M$40)</f>
        <v>0</v>
      </c>
      <c r="M34" s="26">
        <f>('TE BE'!$M$34+'TE BF'!$M$34+'TE CVA'!$M$34)*(1 - CUSTOS!$M$40)</f>
        <v>0</v>
      </c>
      <c r="N34" s="26">
        <f>('TE BE'!$N$34+'TE BF'!$N$34+'TE CVA'!$N$34)*(1 - CUSTOS!$M$40)</f>
        <v>0</v>
      </c>
      <c r="O34" s="26">
        <f>('TE BE'!$O$34+'TE BF'!$O$34+'TE CVA'!$O$34)*(1 - CUSTOS!$M$40)</f>
        <v>0</v>
      </c>
      <c r="P34" s="26">
        <f>('TE BE'!$P$34+'TE BF'!$P$34+'TE CVA'!$P$34)*(1 - CUSTOS!$M$40)</f>
        <v>0</v>
      </c>
      <c r="Q34" s="26">
        <f>('TE BE'!$R$34+'TE BF'!$R$34+'TE CVA'!$R$34)*(1 - CUSTOS!$M$40)</f>
        <v>125.69284453996404</v>
      </c>
      <c r="R34" s="26">
        <f>('TE BE'!$T$34+'TE BF'!$T$34+'TE CVA'!$T$34)*(1 - CUSTOS!$M$40)</f>
        <v>0</v>
      </c>
      <c r="S34" s="26">
        <f>('TE BE'!$U$34+'TE BF'!$U$34+'TE CVA'!$U$34)*(1 - CUSTOS!$M$40)</f>
        <v>0</v>
      </c>
      <c r="T34" s="26">
        <f>('TE BE'!$V$34+'TE BF'!$V$34+'TE CVA'!$V$34)*(1 - CUSTOS!$M$40)</f>
        <v>0</v>
      </c>
      <c r="U34" s="26">
        <f>('TE BE'!$X$34+'TE BF'!$X$34+'TE CVA'!$X$34)*(1 - CUSTOS!$M$40)</f>
        <v>0</v>
      </c>
      <c r="V34" s="26">
        <f>('TE BE'!$Z$34+'TE BF'!$Z$34+'TE CVA'!$Z$34)*(1 - CUSTOS!$M$40)</f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126.219757464214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99" t="s">
        <v>33</v>
      </c>
      <c r="B35" s="99" t="s">
        <v>71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73</v>
      </c>
      <c r="H35" s="29" t="s">
        <v>72</v>
      </c>
      <c r="I35" s="29">
        <f>'MERCADO TE'!$U$32</f>
        <v>1.0639999999999998</v>
      </c>
      <c r="J35" s="15"/>
      <c r="L35" s="26">
        <f>('TE BE'!$L$35+'TE BF'!$L$35+'TE CVA'!$L$35)*1</f>
        <v>0</v>
      </c>
      <c r="M35" s="26">
        <f>('TE BE'!$M$35+'TE BF'!$M$35+'TE CVA'!$M$35)*1</f>
        <v>0</v>
      </c>
      <c r="N35" s="26">
        <f>('TE BE'!$N$35+'TE BF'!$N$35+'TE CVA'!$N$35)*1</f>
        <v>0</v>
      </c>
      <c r="O35" s="26">
        <f>('TE BE'!$O$35+'TE BF'!$O$35+'TE CVA'!$O$35)*1</f>
        <v>0</v>
      </c>
      <c r="P35" s="26">
        <f>('TE BE'!$P$35+'TE BF'!$P$35+'TE CVA'!$P$35)*1</f>
        <v>0</v>
      </c>
      <c r="Q35" s="26">
        <f>('TE BE'!$R$35+'TE BF'!$R$35+'TE CVA'!$R$35)*1</f>
        <v>136.62265710865657</v>
      </c>
      <c r="R35" s="26">
        <f>('TE BE'!$T$35+'TE BF'!$T$35+'TE CVA'!$T$35)*1</f>
        <v>0</v>
      </c>
      <c r="S35" s="26">
        <f>('TE BE'!$U$35+'TE BF'!$U$35+'TE CVA'!$U$35)*1</f>
        <v>0</v>
      </c>
      <c r="T35" s="26">
        <f>('TE BE'!$V$35+'TE BF'!$V$35+'TE CVA'!$V$35)*1</f>
        <v>0</v>
      </c>
      <c r="U35" s="26">
        <f>('TE BE'!$X$35+'TE BF'!$X$35+'TE CVA'!$X$35)*1</f>
        <v>0</v>
      </c>
      <c r="V35" s="26">
        <f>('TE BE'!$Z$35+'TE BF'!$Z$35+'TE CVA'!$Z$35)*1</f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150.26161602882601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72</v>
      </c>
      <c r="I36" s="29">
        <f>'MERCADO TE'!$U$33</f>
        <v>1.6680000000000006</v>
      </c>
      <c r="J36" s="15"/>
      <c r="L36" s="26">
        <f>('TE BE'!$L$36+'TE BF'!$L$36+'TE CVA'!$L$36)*1</f>
        <v>0</v>
      </c>
      <c r="M36" s="26">
        <f>('TE BE'!$M$36+'TE BF'!$M$36+'TE CVA'!$M$36)*1</f>
        <v>0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0</v>
      </c>
      <c r="Q36" s="26">
        <f>('TE BE'!$R$36+'TE BF'!$R$36+'TE CVA'!$R$36)*1</f>
        <v>136.62265710865657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0</v>
      </c>
      <c r="V36" s="26">
        <f>('TE BE'!$Z$36+'TE BF'!$Z$36+'TE CVA'!$Z$36)*1</f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150.26161602882601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99"/>
      <c r="B37" s="99"/>
      <c r="C37" s="99"/>
      <c r="D37" s="99"/>
      <c r="E37" s="99"/>
      <c r="F37" s="99"/>
      <c r="G37" s="29" t="s">
        <v>74</v>
      </c>
      <c r="H37" s="29" t="s">
        <v>72</v>
      </c>
      <c r="I37" s="29">
        <f>'MERCADO TE'!$U$34</f>
        <v>73.304000000000016</v>
      </c>
      <c r="J37" s="15"/>
      <c r="L37" s="26">
        <f>('TE BE'!$L$37+'TE BF'!$L$37+'TE CVA'!$L$37)*1</f>
        <v>0</v>
      </c>
      <c r="M37" s="26">
        <f>('TE BE'!$M$37+'TE BF'!$M$37+'TE CVA'!$M$37)*1</f>
        <v>0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0</v>
      </c>
      <c r="Q37" s="26">
        <f>('TE BE'!$R$37+'TE BF'!$R$37+'TE CVA'!$R$37)*1</f>
        <v>136.62265710865657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150.26161602882601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72</v>
      </c>
      <c r="I38" s="29">
        <f>'MERCADO TE'!$U$35</f>
        <v>14591.943000000003</v>
      </c>
      <c r="J38" s="15"/>
      <c r="L38" s="26">
        <f>('TE BE'!$L$38+'TE BF'!$L$38+'TE CVA'!$L$38)*1</f>
        <v>0</v>
      </c>
      <c r="M38" s="26">
        <f>('TE BE'!$M$38+'TE BF'!$M$38+'TE CVA'!$M$38)*1</f>
        <v>0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0</v>
      </c>
      <c r="Q38" s="26">
        <f>('TE BE'!$R$38+'TE BF'!$R$38+'TE CVA'!$R$38)*1</f>
        <v>136.62265710865657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150.26161602882601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72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0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0</v>
      </c>
      <c r="Q39" s="26">
        <f>('TE BE'!$R$39+'TE BF'!$R$39+'TE CVA'!$R$39)*1</f>
        <v>136.62265710865657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150.26161602882601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99" t="s">
        <v>46</v>
      </c>
      <c r="B40" s="99" t="s">
        <v>85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78</v>
      </c>
      <c r="H40" s="29" t="s">
        <v>72</v>
      </c>
      <c r="I40" s="29">
        <f>'MERCADO TE'!$U$37</f>
        <v>5137.0619999999999</v>
      </c>
      <c r="J40" s="15"/>
      <c r="L40" s="26">
        <f>('TE BE'!$L$40+'TE BF'!$L$40+'TE CVA'!$L$40)*1</f>
        <v>0</v>
      </c>
      <c r="M40" s="26">
        <f>('TE BE'!$M$40+'TE BF'!$M$40+'TE CVA'!$M$40)*1</f>
        <v>0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0</v>
      </c>
      <c r="Q40" s="26">
        <f>('TE BE'!$R$40+'TE BF'!$R$40+'TE CVA'!$R$40)*1</f>
        <v>75.142461409761111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82.643888815854098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72</v>
      </c>
      <c r="I41" s="29">
        <f>'MERCADO TE'!$U$38</f>
        <v>0</v>
      </c>
      <c r="J41" s="15"/>
      <c r="L41" s="26">
        <f>('TE BE'!$L$41+'TE BF'!$L$41+'TE CVA'!$L$41)*1</f>
        <v>0</v>
      </c>
      <c r="M41" s="26">
        <f>('TE BE'!$M$41+'TE BF'!$M$41+'TE CVA'!$M$41)*1</f>
        <v>0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0</v>
      </c>
      <c r="Q41" s="26">
        <f>('TE BE'!$R$41+'TE BF'!$R$41+'TE CVA'!$R$41)*1</f>
        <v>81.973594265193938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90.156969617295402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3" spans="1:34" ht="11.25" customHeight="1" x14ac:dyDescent="0.25">
      <c r="L43" s="101" t="s">
        <v>918</v>
      </c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X43" s="101" t="s">
        <v>919</v>
      </c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</row>
    <row r="44" spans="1:34" ht="11.25" customHeight="1" x14ac:dyDescent="0.25">
      <c r="L44" s="101" t="s">
        <v>474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474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25">
      <c r="L45" s="101" t="s">
        <v>447</v>
      </c>
      <c r="M45" s="101"/>
      <c r="N45" s="101"/>
      <c r="O45" s="101"/>
      <c r="P45" s="101"/>
      <c r="Q45" s="30" t="s">
        <v>478</v>
      </c>
      <c r="R45" s="101" t="s">
        <v>456</v>
      </c>
      <c r="S45" s="101"/>
      <c r="T45" s="101"/>
      <c r="U45" s="30" t="s">
        <v>466</v>
      </c>
      <c r="V45" s="30" t="s">
        <v>469</v>
      </c>
      <c r="X45" s="101" t="s">
        <v>447</v>
      </c>
      <c r="Y45" s="101"/>
      <c r="Z45" s="101"/>
      <c r="AA45" s="101"/>
      <c r="AB45" s="101"/>
      <c r="AC45" s="30" t="s">
        <v>478</v>
      </c>
      <c r="AD45" s="101" t="s">
        <v>456</v>
      </c>
      <c r="AE45" s="101"/>
      <c r="AF45" s="101"/>
      <c r="AG45" s="30" t="s">
        <v>466</v>
      </c>
      <c r="AH45" s="30" t="s">
        <v>469</v>
      </c>
    </row>
    <row r="46" spans="1:34" ht="11.25" customHeight="1" x14ac:dyDescent="0.25">
      <c r="L46" s="30" t="s">
        <v>449</v>
      </c>
      <c r="M46" s="30" t="s">
        <v>475</v>
      </c>
      <c r="N46" s="30" t="s">
        <v>476</v>
      </c>
      <c r="O46" s="30" t="s">
        <v>535</v>
      </c>
      <c r="P46" s="30" t="s">
        <v>477</v>
      </c>
      <c r="Q46" s="30" t="s">
        <v>479</v>
      </c>
      <c r="R46" s="30" t="s">
        <v>480</v>
      </c>
      <c r="S46" s="30" t="s">
        <v>481</v>
      </c>
      <c r="T46" s="30" t="s">
        <v>482</v>
      </c>
      <c r="U46" s="30" t="s">
        <v>467</v>
      </c>
      <c r="V46" s="30" t="s">
        <v>483</v>
      </c>
      <c r="X46" s="30" t="s">
        <v>449</v>
      </c>
      <c r="Y46" s="30" t="s">
        <v>475</v>
      </c>
      <c r="Z46" s="30" t="s">
        <v>476</v>
      </c>
      <c r="AA46" s="30" t="s">
        <v>535</v>
      </c>
      <c r="AB46" s="30" t="s">
        <v>477</v>
      </c>
      <c r="AC46" s="30" t="s">
        <v>479</v>
      </c>
      <c r="AD46" s="30" t="s">
        <v>480</v>
      </c>
      <c r="AE46" s="30" t="s">
        <v>481</v>
      </c>
      <c r="AF46" s="30" t="s">
        <v>482</v>
      </c>
      <c r="AG46" s="30" t="s">
        <v>467</v>
      </c>
      <c r="AH46" s="30" t="s">
        <v>483</v>
      </c>
    </row>
    <row r="47" spans="1:34" ht="11.25" customHeight="1" x14ac:dyDescent="0.25">
      <c r="A47" s="9" t="s">
        <v>35</v>
      </c>
      <c r="B47" s="9" t="s">
        <v>920</v>
      </c>
      <c r="C47" s="9" t="s">
        <v>921</v>
      </c>
      <c r="D47" s="9" t="s">
        <v>922</v>
      </c>
      <c r="E47" s="9" t="s">
        <v>923</v>
      </c>
      <c r="F47" s="9" t="s">
        <v>924</v>
      </c>
      <c r="G47" s="9" t="s">
        <v>925</v>
      </c>
      <c r="L47" s="26">
        <f>$I$5*$L$5</f>
        <v>0</v>
      </c>
      <c r="M47" s="26">
        <f>$I$5*$M$5</f>
        <v>0</v>
      </c>
      <c r="N47" s="26">
        <f>$I$5*$N$5</f>
        <v>0</v>
      </c>
      <c r="O47" s="26">
        <f>$I$5*$O$5</f>
        <v>0</v>
      </c>
      <c r="P47" s="26">
        <f>$I$5*$P$5</f>
        <v>0</v>
      </c>
      <c r="Q47" s="26">
        <f>$I$5*$Q$5</f>
        <v>206251.43794548357</v>
      </c>
      <c r="R47" s="26">
        <f>$I$5*$R$5</f>
        <v>0</v>
      </c>
      <c r="S47" s="26">
        <f>$I$5*$S$5</f>
        <v>0</v>
      </c>
      <c r="T47" s="26">
        <f>$I$5*$T$5</f>
        <v>0</v>
      </c>
      <c r="U47" s="26">
        <f>$I$5*$U$5</f>
        <v>0</v>
      </c>
      <c r="V47" s="26">
        <f>$I$5*$V$5</f>
        <v>0</v>
      </c>
      <c r="X47" s="26">
        <f>$I$5*$X$5</f>
        <v>0</v>
      </c>
      <c r="Y47" s="26">
        <f>$I$5*$Y$5</f>
        <v>0</v>
      </c>
      <c r="Z47" s="26">
        <f>$I$5*$Z$5</f>
        <v>0</v>
      </c>
      <c r="AA47" s="26">
        <f>$I$5*$AA$5</f>
        <v>0</v>
      </c>
      <c r="AB47" s="26">
        <f>$I$5*$AB$5</f>
        <v>0</v>
      </c>
      <c r="AC47" s="26">
        <f>$I$5*$AC$5</f>
        <v>226841.39680660493</v>
      </c>
      <c r="AD47" s="26">
        <f>$I$5*$AD$5</f>
        <v>0</v>
      </c>
      <c r="AE47" s="26">
        <f>$I$5*$AE$5</f>
        <v>0</v>
      </c>
      <c r="AF47" s="26">
        <f>$I$5*$AF$5</f>
        <v>0</v>
      </c>
      <c r="AG47" s="26">
        <f>$I$5*$AG$5</f>
        <v>0</v>
      </c>
      <c r="AH47" s="26">
        <f>$I$5*$AH$5</f>
        <v>0</v>
      </c>
    </row>
    <row r="48" spans="1:34" ht="11.25" customHeight="1" x14ac:dyDescent="0.25">
      <c r="A48" s="9" t="s">
        <v>35</v>
      </c>
      <c r="B48" s="9" t="s">
        <v>920</v>
      </c>
      <c r="C48" s="9" t="s">
        <v>921</v>
      </c>
      <c r="D48" s="9" t="s">
        <v>922</v>
      </c>
      <c r="E48" s="9" t="s">
        <v>923</v>
      </c>
      <c r="F48" s="9" t="s">
        <v>924</v>
      </c>
      <c r="G48" s="9" t="s">
        <v>926</v>
      </c>
      <c r="L48" s="26">
        <f>$I$6*$L$6</f>
        <v>0</v>
      </c>
      <c r="M48" s="26">
        <f>$I$6*$M$6</f>
        <v>0</v>
      </c>
      <c r="N48" s="26">
        <f>$I$6*$N$6</f>
        <v>0</v>
      </c>
      <c r="O48" s="26">
        <f>$I$6*$O$6</f>
        <v>0</v>
      </c>
      <c r="P48" s="26">
        <f>$I$6*$P$6</f>
        <v>0</v>
      </c>
      <c r="Q48" s="26">
        <f>$I$6*$Q$6</f>
        <v>12142331.136285711</v>
      </c>
      <c r="R48" s="26">
        <f>$I$6*$R$6</f>
        <v>0</v>
      </c>
      <c r="S48" s="26">
        <f>$I$6*$S$6</f>
        <v>0</v>
      </c>
      <c r="T48" s="26">
        <f>$I$6*$T$6</f>
        <v>0</v>
      </c>
      <c r="U48" s="26">
        <f>$I$6*$U$6</f>
        <v>0</v>
      </c>
      <c r="V48" s="26">
        <f>$I$6*$V$6</f>
        <v>0</v>
      </c>
      <c r="X48" s="26">
        <f>$I$6*$X$6</f>
        <v>0</v>
      </c>
      <c r="Y48" s="26">
        <f>$I$6*$Y$6</f>
        <v>0</v>
      </c>
      <c r="Z48" s="26">
        <f>$I$6*$Z$6</f>
        <v>0</v>
      </c>
      <c r="AA48" s="26">
        <f>$I$6*$AA$6</f>
        <v>0</v>
      </c>
      <c r="AB48" s="26">
        <f>$I$6*$AB$6</f>
        <v>0</v>
      </c>
      <c r="AC48" s="26">
        <f>$I$6*$AC$6</f>
        <v>13354492.86017303</v>
      </c>
      <c r="AD48" s="26">
        <f>$I$6*$AD$6</f>
        <v>0</v>
      </c>
      <c r="AE48" s="26">
        <f>$I$6*$AE$6</f>
        <v>0</v>
      </c>
      <c r="AF48" s="26">
        <f>$I$6*$AF$6</f>
        <v>0</v>
      </c>
      <c r="AG48" s="26">
        <f>$I$6*$AG$6</f>
        <v>0</v>
      </c>
      <c r="AH48" s="26">
        <f>$I$6*$AH$6</f>
        <v>0</v>
      </c>
    </row>
    <row r="49" spans="1:34" ht="11.25" customHeight="1" x14ac:dyDescent="0.25">
      <c r="A49" s="9" t="s">
        <v>22</v>
      </c>
      <c r="B49" s="9" t="s">
        <v>927</v>
      </c>
      <c r="C49" s="9" t="s">
        <v>928</v>
      </c>
      <c r="D49" s="9" t="s">
        <v>929</v>
      </c>
      <c r="E49" s="9" t="s">
        <v>930</v>
      </c>
      <c r="F49" s="9" t="s">
        <v>931</v>
      </c>
      <c r="G49" s="9" t="s">
        <v>932</v>
      </c>
      <c r="L49" s="26">
        <f>$I$7*$L$7</f>
        <v>0</v>
      </c>
      <c r="M49" s="26">
        <f>$I$7*$M$7</f>
        <v>0</v>
      </c>
      <c r="N49" s="26">
        <f>$I$7*$N$7</f>
        <v>0</v>
      </c>
      <c r="O49" s="26">
        <f>$I$7*$O$7</f>
        <v>0</v>
      </c>
      <c r="P49" s="26">
        <f>$I$7*$P$7</f>
        <v>0</v>
      </c>
      <c r="Q49" s="26">
        <f>$I$7*$Q$7</f>
        <v>0</v>
      </c>
      <c r="R49" s="26">
        <f>$I$7*$R$7</f>
        <v>0</v>
      </c>
      <c r="S49" s="26">
        <f>$I$7*$S$7</f>
        <v>0</v>
      </c>
      <c r="T49" s="26">
        <f>$I$7*$T$7</f>
        <v>0</v>
      </c>
      <c r="U49" s="26">
        <f>$I$7*$U$7</f>
        <v>0</v>
      </c>
      <c r="V49" s="26">
        <f>$I$7*$V$7</f>
        <v>0</v>
      </c>
      <c r="X49" s="26">
        <f>$I$7*$X$7</f>
        <v>0</v>
      </c>
      <c r="Y49" s="26">
        <f>$I$7*$Y$7</f>
        <v>0</v>
      </c>
      <c r="Z49" s="26">
        <f>$I$7*$Z$7</f>
        <v>0</v>
      </c>
      <c r="AA49" s="26">
        <f>$I$7*$AA$7</f>
        <v>0</v>
      </c>
      <c r="AB49" s="26">
        <f>$I$7*$AB$7</f>
        <v>0</v>
      </c>
      <c r="AC49" s="26">
        <f>$I$7*$AC$7</f>
        <v>0</v>
      </c>
      <c r="AD49" s="26">
        <f>$I$7*$AD$7</f>
        <v>0</v>
      </c>
      <c r="AE49" s="26">
        <f>$I$7*$AE$7</f>
        <v>0</v>
      </c>
      <c r="AF49" s="26">
        <f>$I$7*$AF$7</f>
        <v>0</v>
      </c>
      <c r="AG49" s="26">
        <f>$I$7*$AG$7</f>
        <v>0</v>
      </c>
      <c r="AH49" s="26">
        <f>$I$7*$AH$7</f>
        <v>0</v>
      </c>
    </row>
    <row r="50" spans="1:34" ht="11.25" customHeight="1" x14ac:dyDescent="0.25">
      <c r="A50" s="9" t="s">
        <v>22</v>
      </c>
      <c r="B50" s="9" t="s">
        <v>927</v>
      </c>
      <c r="C50" s="9" t="s">
        <v>928</v>
      </c>
      <c r="D50" s="9" t="s">
        <v>929</v>
      </c>
      <c r="E50" s="9" t="s">
        <v>930</v>
      </c>
      <c r="F50" s="9" t="s">
        <v>931</v>
      </c>
      <c r="G50" s="9" t="s">
        <v>933</v>
      </c>
      <c r="L50" s="26">
        <f>$I$8*$L$8</f>
        <v>0</v>
      </c>
      <c r="M50" s="26">
        <f>$I$8*$M$8</f>
        <v>0</v>
      </c>
      <c r="N50" s="26">
        <f>$I$8*$N$8</f>
        <v>0</v>
      </c>
      <c r="O50" s="26">
        <f>$I$8*$O$8</f>
        <v>0</v>
      </c>
      <c r="P50" s="26">
        <f>$I$8*$P$8</f>
        <v>0</v>
      </c>
      <c r="Q50" s="26">
        <f>$I$8*$Q$8</f>
        <v>0</v>
      </c>
      <c r="R50" s="26">
        <f>$I$8*$R$8</f>
        <v>0</v>
      </c>
      <c r="S50" s="26">
        <f>$I$8*$S$8</f>
        <v>0</v>
      </c>
      <c r="T50" s="26">
        <f>$I$8*$T$8</f>
        <v>0</v>
      </c>
      <c r="U50" s="26">
        <f>$I$8*$U$8</f>
        <v>0</v>
      </c>
      <c r="V50" s="26">
        <f>$I$8*$V$8</f>
        <v>0</v>
      </c>
      <c r="X50" s="26">
        <f>$I$8*$X$8</f>
        <v>0</v>
      </c>
      <c r="Y50" s="26">
        <f>$I$8*$Y$8</f>
        <v>0</v>
      </c>
      <c r="Z50" s="26">
        <f>$I$8*$Z$8</f>
        <v>0</v>
      </c>
      <c r="AA50" s="26">
        <f>$I$8*$AA$8</f>
        <v>0</v>
      </c>
      <c r="AB50" s="26">
        <f>$I$8*$AB$8</f>
        <v>0</v>
      </c>
      <c r="AC50" s="26">
        <f>$I$8*$AC$8</f>
        <v>0</v>
      </c>
      <c r="AD50" s="26">
        <f>$I$8*$AD$8</f>
        <v>0</v>
      </c>
      <c r="AE50" s="26">
        <f>$I$8*$AE$8</f>
        <v>0</v>
      </c>
      <c r="AF50" s="26">
        <f>$I$8*$AF$8</f>
        <v>0</v>
      </c>
      <c r="AG50" s="26">
        <f>$I$8*$AG$8</f>
        <v>0</v>
      </c>
      <c r="AH50" s="26">
        <f>$I$8*$AH$8</f>
        <v>0</v>
      </c>
    </row>
    <row r="51" spans="1:34" ht="11.25" customHeight="1" x14ac:dyDescent="0.25">
      <c r="A51" s="9" t="s">
        <v>22</v>
      </c>
      <c r="B51" s="9" t="s">
        <v>927</v>
      </c>
      <c r="C51" s="9" t="s">
        <v>928</v>
      </c>
      <c r="D51" s="9" t="s">
        <v>929</v>
      </c>
      <c r="E51" s="9" t="s">
        <v>930</v>
      </c>
      <c r="F51" s="9" t="s">
        <v>931</v>
      </c>
      <c r="G51" s="9" t="s">
        <v>934</v>
      </c>
      <c r="L51" s="26">
        <f>$I$9*$L$9</f>
        <v>0</v>
      </c>
      <c r="M51" s="26">
        <f>$I$9*$M$9</f>
        <v>0</v>
      </c>
      <c r="N51" s="26">
        <f>$I$9*$N$9</f>
        <v>0</v>
      </c>
      <c r="O51" s="26">
        <f>$I$9*$O$9</f>
        <v>0</v>
      </c>
      <c r="P51" s="26">
        <f>$I$9*$P$9</f>
        <v>0</v>
      </c>
      <c r="Q51" s="26">
        <f>$I$9*$Q$9</f>
        <v>0</v>
      </c>
      <c r="R51" s="26">
        <f>$I$9*$R$9</f>
        <v>0</v>
      </c>
      <c r="S51" s="26">
        <f>$I$9*$S$9</f>
        <v>0</v>
      </c>
      <c r="T51" s="26">
        <f>$I$9*$T$9</f>
        <v>0</v>
      </c>
      <c r="U51" s="26">
        <f>$I$9*$U$9</f>
        <v>0</v>
      </c>
      <c r="V51" s="26">
        <f>$I$9*$V$9</f>
        <v>0</v>
      </c>
      <c r="X51" s="26">
        <f>$I$9*$X$9</f>
        <v>0</v>
      </c>
      <c r="Y51" s="26">
        <f>$I$9*$Y$9</f>
        <v>0</v>
      </c>
      <c r="Z51" s="26">
        <f>$I$9*$Z$9</f>
        <v>0</v>
      </c>
      <c r="AA51" s="26">
        <f>$I$9*$AA$9</f>
        <v>0</v>
      </c>
      <c r="AB51" s="26">
        <f>$I$9*$AB$9</f>
        <v>0</v>
      </c>
      <c r="AC51" s="26">
        <f>$I$9*$AC$9</f>
        <v>0</v>
      </c>
      <c r="AD51" s="26">
        <f>$I$9*$AD$9</f>
        <v>0</v>
      </c>
      <c r="AE51" s="26">
        <f>$I$9*$AE$9</f>
        <v>0</v>
      </c>
      <c r="AF51" s="26">
        <f>$I$9*$AF$9</f>
        <v>0</v>
      </c>
      <c r="AG51" s="26">
        <f>$I$9*$AG$9</f>
        <v>0</v>
      </c>
      <c r="AH51" s="26">
        <f>$I$9*$AH$9</f>
        <v>0</v>
      </c>
    </row>
    <row r="52" spans="1:34" ht="11.25" customHeight="1" x14ac:dyDescent="0.25">
      <c r="A52" s="9" t="s">
        <v>22</v>
      </c>
      <c r="B52" s="9" t="s">
        <v>935</v>
      </c>
      <c r="C52" s="9" t="s">
        <v>936</v>
      </c>
      <c r="D52" s="9" t="s">
        <v>937</v>
      </c>
      <c r="E52" s="9" t="s">
        <v>938</v>
      </c>
      <c r="F52" s="9" t="s">
        <v>939</v>
      </c>
      <c r="G52" s="9" t="s">
        <v>940</v>
      </c>
      <c r="L52" s="26">
        <f>$I$10*$L$10</f>
        <v>0</v>
      </c>
      <c r="M52" s="26">
        <f>$I$10*$M$10</f>
        <v>0</v>
      </c>
      <c r="N52" s="26">
        <f>$I$10*$N$10</f>
        <v>0</v>
      </c>
      <c r="O52" s="26">
        <f>$I$10*$O$10</f>
        <v>0</v>
      </c>
      <c r="P52" s="26">
        <f>$I$10*$P$10</f>
        <v>0</v>
      </c>
      <c r="Q52" s="26">
        <f>$I$10*$Q$10</f>
        <v>4122210.9166068067</v>
      </c>
      <c r="R52" s="26">
        <f>$I$10*$R$10</f>
        <v>0</v>
      </c>
      <c r="S52" s="26">
        <f>$I$10*$S$10</f>
        <v>0</v>
      </c>
      <c r="T52" s="26">
        <f>$I$10*$T$10</f>
        <v>0</v>
      </c>
      <c r="U52" s="26">
        <f>$I$10*$U$10</f>
        <v>0</v>
      </c>
      <c r="V52" s="26">
        <f>$I$10*$V$10</f>
        <v>0</v>
      </c>
      <c r="X52" s="26">
        <f>$I$10*$X$10</f>
        <v>0</v>
      </c>
      <c r="Y52" s="26">
        <f>$I$10*$Y$10</f>
        <v>0</v>
      </c>
      <c r="Z52" s="26">
        <f>$I$10*$Z$10</f>
        <v>0</v>
      </c>
      <c r="AA52" s="26">
        <f>$I$10*$AA$10</f>
        <v>0</v>
      </c>
      <c r="AB52" s="26">
        <f>$I$10*$AB$10</f>
        <v>0</v>
      </c>
      <c r="AC52" s="26">
        <f>$I$10*$AC$10</f>
        <v>4533728.7903015055</v>
      </c>
      <c r="AD52" s="26">
        <f>$I$10*$AD$10</f>
        <v>0</v>
      </c>
      <c r="AE52" s="26">
        <f>$I$10*$AE$10</f>
        <v>0</v>
      </c>
      <c r="AF52" s="26">
        <f>$I$10*$AF$10</f>
        <v>0</v>
      </c>
      <c r="AG52" s="26">
        <f>$I$10*$AG$10</f>
        <v>0</v>
      </c>
      <c r="AH52" s="26">
        <f>$I$10*$AH$10</f>
        <v>0</v>
      </c>
    </row>
    <row r="53" spans="1:34" ht="11.25" customHeight="1" x14ac:dyDescent="0.25">
      <c r="A53" s="9" t="s">
        <v>22</v>
      </c>
      <c r="B53" s="9" t="s">
        <v>935</v>
      </c>
      <c r="C53" s="9" t="s">
        <v>936</v>
      </c>
      <c r="D53" s="9" t="s">
        <v>941</v>
      </c>
      <c r="E53" s="9" t="s">
        <v>942</v>
      </c>
      <c r="F53" s="9" t="s">
        <v>943</v>
      </c>
      <c r="G53" s="9" t="s">
        <v>944</v>
      </c>
      <c r="L53" s="26">
        <f>$I$11*$L$11</f>
        <v>0</v>
      </c>
      <c r="M53" s="26">
        <f>$I$11*$M$11</f>
        <v>0</v>
      </c>
      <c r="N53" s="26">
        <f>$I$11*$N$11</f>
        <v>0</v>
      </c>
      <c r="O53" s="26">
        <f>$I$11*$O$11</f>
        <v>0</v>
      </c>
      <c r="P53" s="26">
        <f>$I$11*$P$11</f>
        <v>0</v>
      </c>
      <c r="Q53" s="26">
        <f>$I$11*$Q$11</f>
        <v>9170.4269772443804</v>
      </c>
      <c r="R53" s="26">
        <f>$I$11*$R$11</f>
        <v>0</v>
      </c>
      <c r="S53" s="26">
        <f>$I$11*$S$11</f>
        <v>0</v>
      </c>
      <c r="T53" s="26">
        <f>$I$11*$T$11</f>
        <v>0</v>
      </c>
      <c r="U53" s="26">
        <f>$I$11*$U$11</f>
        <v>0</v>
      </c>
      <c r="V53" s="26">
        <f>$I$11*$V$11</f>
        <v>0</v>
      </c>
      <c r="X53" s="26">
        <f>$I$11*$X$11</f>
        <v>0</v>
      </c>
      <c r="Y53" s="26">
        <f>$I$11*$Y$11</f>
        <v>0</v>
      </c>
      <c r="Z53" s="26">
        <f>$I$11*$Z$11</f>
        <v>0</v>
      </c>
      <c r="AA53" s="26">
        <f>$I$11*$AA$11</f>
        <v>0</v>
      </c>
      <c r="AB53" s="26">
        <f>$I$11*$AB$11</f>
        <v>0</v>
      </c>
      <c r="AC53" s="26">
        <f>$I$11*$AC$11</f>
        <v>10085.905269571651</v>
      </c>
      <c r="AD53" s="26">
        <f>$I$11*$AD$11</f>
        <v>0</v>
      </c>
      <c r="AE53" s="26">
        <f>$I$11*$AE$11</f>
        <v>0</v>
      </c>
      <c r="AF53" s="26">
        <f>$I$11*$AF$11</f>
        <v>0</v>
      </c>
      <c r="AG53" s="26">
        <f>$I$11*$AG$11</f>
        <v>0</v>
      </c>
      <c r="AH53" s="26">
        <f>$I$11*$AH$11</f>
        <v>0</v>
      </c>
    </row>
    <row r="54" spans="1:34" ht="11.25" customHeight="1" x14ac:dyDescent="0.25">
      <c r="A54" s="9" t="s">
        <v>22</v>
      </c>
      <c r="B54" s="9" t="s">
        <v>935</v>
      </c>
      <c r="C54" s="9" t="s">
        <v>936</v>
      </c>
      <c r="D54" s="9" t="s">
        <v>945</v>
      </c>
      <c r="E54" s="9" t="s">
        <v>946</v>
      </c>
      <c r="F54" s="9" t="s">
        <v>947</v>
      </c>
      <c r="G54" s="9" t="s">
        <v>948</v>
      </c>
      <c r="L54" s="26">
        <f>$I$12*$L$12</f>
        <v>0</v>
      </c>
      <c r="M54" s="26">
        <f>$I$12*$M$12</f>
        <v>0</v>
      </c>
      <c r="N54" s="26">
        <f>$I$12*$N$12</f>
        <v>0</v>
      </c>
      <c r="O54" s="26">
        <f>$I$12*$O$12</f>
        <v>0</v>
      </c>
      <c r="P54" s="26">
        <f>$I$12*$P$12</f>
        <v>0</v>
      </c>
      <c r="Q54" s="26">
        <f>$I$12*$Q$12</f>
        <v>34576.052193087482</v>
      </c>
      <c r="R54" s="26">
        <f>$I$12*$R$12</f>
        <v>0</v>
      </c>
      <c r="S54" s="26">
        <f>$I$12*$S$12</f>
        <v>0</v>
      </c>
      <c r="T54" s="26">
        <f>$I$12*$T$12</f>
        <v>0</v>
      </c>
      <c r="U54" s="26">
        <f>$I$12*$U$12</f>
        <v>0</v>
      </c>
      <c r="V54" s="26">
        <f>$I$12*$V$12</f>
        <v>0</v>
      </c>
      <c r="X54" s="26">
        <f>$I$12*$X$12</f>
        <v>0</v>
      </c>
      <c r="Y54" s="26">
        <f>$I$12*$Y$12</f>
        <v>0</v>
      </c>
      <c r="Z54" s="26">
        <f>$I$12*$Z$12</f>
        <v>0</v>
      </c>
      <c r="AA54" s="26">
        <f>$I$12*$AA$12</f>
        <v>0</v>
      </c>
      <c r="AB54" s="26">
        <f>$I$12*$AB$12</f>
        <v>0</v>
      </c>
      <c r="AC54" s="26">
        <f>$I$12*$AC$12</f>
        <v>38027.758999727113</v>
      </c>
      <c r="AD54" s="26">
        <f>$I$12*$AD$12</f>
        <v>0</v>
      </c>
      <c r="AE54" s="26">
        <f>$I$12*$AE$12</f>
        <v>0</v>
      </c>
      <c r="AF54" s="26">
        <f>$I$12*$AF$12</f>
        <v>0</v>
      </c>
      <c r="AG54" s="26">
        <f>$I$12*$AG$12</f>
        <v>0</v>
      </c>
      <c r="AH54" s="26">
        <f>$I$12*$AH$12</f>
        <v>0</v>
      </c>
    </row>
    <row r="55" spans="1:34" ht="11.25" customHeight="1" x14ac:dyDescent="0.25">
      <c r="A55" s="9" t="s">
        <v>22</v>
      </c>
      <c r="B55" s="9" t="s">
        <v>935</v>
      </c>
      <c r="C55" s="9" t="s">
        <v>936</v>
      </c>
      <c r="D55" s="9" t="s">
        <v>949</v>
      </c>
      <c r="E55" s="9" t="s">
        <v>950</v>
      </c>
      <c r="F55" s="9" t="s">
        <v>951</v>
      </c>
      <c r="G55" s="9" t="s">
        <v>952</v>
      </c>
      <c r="L55" s="26">
        <f>$I$13*$L$13</f>
        <v>0</v>
      </c>
      <c r="M55" s="26">
        <f>$I$13*$M$13</f>
        <v>0</v>
      </c>
      <c r="N55" s="26">
        <f>$I$13*$N$13</f>
        <v>0</v>
      </c>
      <c r="O55" s="26">
        <f>$I$13*$O$13</f>
        <v>0</v>
      </c>
      <c r="P55" s="26">
        <f>$I$13*$P$13</f>
        <v>0</v>
      </c>
      <c r="Q55" s="26">
        <f>$I$13*$Q$13</f>
        <v>59874.578908023104</v>
      </c>
      <c r="R55" s="26">
        <f>$I$13*$R$13</f>
        <v>0</v>
      </c>
      <c r="S55" s="26">
        <f>$I$13*$S$13</f>
        <v>0</v>
      </c>
      <c r="T55" s="26">
        <f>$I$13*$T$13</f>
        <v>0</v>
      </c>
      <c r="U55" s="26">
        <f>$I$13*$U$13</f>
        <v>0</v>
      </c>
      <c r="V55" s="26">
        <f>$I$13*$V$13</f>
        <v>0</v>
      </c>
      <c r="X55" s="26">
        <f>$I$13*$X$13</f>
        <v>0</v>
      </c>
      <c r="Y55" s="26">
        <f>$I$13*$Y$13</f>
        <v>0</v>
      </c>
      <c r="Z55" s="26">
        <f>$I$13*$Z$13</f>
        <v>0</v>
      </c>
      <c r="AA55" s="26">
        <f>$I$13*$AA$13</f>
        <v>0</v>
      </c>
      <c r="AB55" s="26">
        <f>$I$13*$AB$13</f>
        <v>0</v>
      </c>
      <c r="AC55" s="26">
        <f>$I$13*$AC$13</f>
        <v>65851.822649077541</v>
      </c>
      <c r="AD55" s="26">
        <f>$I$13*$AD$13</f>
        <v>0</v>
      </c>
      <c r="AE55" s="26">
        <f>$I$13*$AE$13</f>
        <v>0</v>
      </c>
      <c r="AF55" s="26">
        <f>$I$13*$AF$13</f>
        <v>0</v>
      </c>
      <c r="AG55" s="26">
        <f>$I$13*$AG$13</f>
        <v>0</v>
      </c>
      <c r="AH55" s="26">
        <f>$I$13*$AH$13</f>
        <v>0</v>
      </c>
    </row>
    <row r="56" spans="1:34" ht="11.25" customHeight="1" x14ac:dyDescent="0.25">
      <c r="A56" s="9" t="s">
        <v>22</v>
      </c>
      <c r="B56" s="9" t="s">
        <v>935</v>
      </c>
      <c r="C56" s="9" t="s">
        <v>936</v>
      </c>
      <c r="D56" s="9" t="s">
        <v>953</v>
      </c>
      <c r="E56" s="9" t="s">
        <v>954</v>
      </c>
      <c r="F56" s="9" t="s">
        <v>955</v>
      </c>
      <c r="G56" s="9" t="s">
        <v>956</v>
      </c>
      <c r="L56" s="26">
        <f>$I$14*$L$14</f>
        <v>0</v>
      </c>
      <c r="M56" s="26">
        <f>$I$14*$M$14</f>
        <v>0</v>
      </c>
      <c r="N56" s="26">
        <f>$I$14*$N$14</f>
        <v>0</v>
      </c>
      <c r="O56" s="26">
        <f>$I$14*$O$14</f>
        <v>0</v>
      </c>
      <c r="P56" s="26">
        <f>$I$14*$P$14</f>
        <v>0</v>
      </c>
      <c r="Q56" s="26">
        <f>$I$14*$Q$14</f>
        <v>31858.900788510517</v>
      </c>
      <c r="R56" s="26">
        <f>$I$14*$R$14</f>
        <v>0</v>
      </c>
      <c r="S56" s="26">
        <f>$I$14*$S$14</f>
        <v>0</v>
      </c>
      <c r="T56" s="26">
        <f>$I$14*$T$14</f>
        <v>0</v>
      </c>
      <c r="U56" s="26">
        <f>$I$14*$U$14</f>
        <v>0</v>
      </c>
      <c r="V56" s="26">
        <f>$I$14*$V$14</f>
        <v>0</v>
      </c>
      <c r="X56" s="26">
        <f>$I$14*$X$14</f>
        <v>0</v>
      </c>
      <c r="Y56" s="26">
        <f>$I$14*$Y$14</f>
        <v>0</v>
      </c>
      <c r="Z56" s="26">
        <f>$I$14*$Z$14</f>
        <v>0</v>
      </c>
      <c r="AA56" s="26">
        <f>$I$14*$AA$14</f>
        <v>0</v>
      </c>
      <c r="AB56" s="26">
        <f>$I$14*$AB$14</f>
        <v>0</v>
      </c>
      <c r="AC56" s="26">
        <f>$I$14*$AC$14</f>
        <v>35039.355980145905</v>
      </c>
      <c r="AD56" s="26">
        <f>$I$14*$AD$14</f>
        <v>0</v>
      </c>
      <c r="AE56" s="26">
        <f>$I$14*$AE$14</f>
        <v>0</v>
      </c>
      <c r="AF56" s="26">
        <f>$I$14*$AF$14</f>
        <v>0</v>
      </c>
      <c r="AG56" s="26">
        <f>$I$14*$AG$14</f>
        <v>0</v>
      </c>
      <c r="AH56" s="26">
        <f>$I$14*$AH$14</f>
        <v>0</v>
      </c>
    </row>
    <row r="57" spans="1:34" ht="11.25" customHeight="1" x14ac:dyDescent="0.25">
      <c r="A57" s="9" t="s">
        <v>22</v>
      </c>
      <c r="B57" s="9" t="s">
        <v>957</v>
      </c>
      <c r="C57" s="9" t="s">
        <v>958</v>
      </c>
      <c r="D57" s="9" t="s">
        <v>959</v>
      </c>
      <c r="E57" s="9" t="s">
        <v>960</v>
      </c>
      <c r="F57" s="9" t="s">
        <v>961</v>
      </c>
      <c r="G57" s="9" t="s">
        <v>962</v>
      </c>
      <c r="L57" s="26">
        <f>$I$15*$L$15</f>
        <v>0</v>
      </c>
      <c r="M57" s="26">
        <f>$I$15*$M$15</f>
        <v>0</v>
      </c>
      <c r="N57" s="26">
        <f>$I$15*$N$15</f>
        <v>0</v>
      </c>
      <c r="O57" s="26">
        <f>$I$15*$O$15</f>
        <v>0</v>
      </c>
      <c r="P57" s="26">
        <f>$I$15*$P$15</f>
        <v>0</v>
      </c>
      <c r="Q57" s="26">
        <f>$I$15*$Q$15</f>
        <v>0</v>
      </c>
      <c r="R57" s="26">
        <f>$I$15*$R$15</f>
        <v>0</v>
      </c>
      <c r="S57" s="26">
        <f>$I$15*$S$15</f>
        <v>0</v>
      </c>
      <c r="T57" s="26">
        <f>$I$15*$T$15</f>
        <v>0</v>
      </c>
      <c r="U57" s="26">
        <f>$I$15*$U$15</f>
        <v>0</v>
      </c>
      <c r="V57" s="26">
        <f>$I$15*$V$15</f>
        <v>0</v>
      </c>
      <c r="X57" s="26">
        <f>$I$15*$X$15</f>
        <v>0</v>
      </c>
      <c r="Y57" s="26">
        <f>$I$15*$Y$15</f>
        <v>0</v>
      </c>
      <c r="Z57" s="26">
        <f>$I$15*$Z$15</f>
        <v>0</v>
      </c>
      <c r="AA57" s="26">
        <f>$I$15*$AA$15</f>
        <v>0</v>
      </c>
      <c r="AB57" s="26">
        <f>$I$15*$AB$15</f>
        <v>0</v>
      </c>
      <c r="AC57" s="26">
        <f>$I$15*$AC$15</f>
        <v>0</v>
      </c>
      <c r="AD57" s="26">
        <f>$I$15*$AD$15</f>
        <v>0</v>
      </c>
      <c r="AE57" s="26">
        <f>$I$15*$AE$15</f>
        <v>0</v>
      </c>
      <c r="AF57" s="26">
        <f>$I$15*$AF$15</f>
        <v>0</v>
      </c>
      <c r="AG57" s="26">
        <f>$I$15*$AG$15</f>
        <v>0</v>
      </c>
      <c r="AH57" s="26">
        <f>$I$15*$AH$15</f>
        <v>0</v>
      </c>
    </row>
    <row r="58" spans="1:34" ht="11.25" customHeight="1" x14ac:dyDescent="0.25">
      <c r="A58" s="9" t="s">
        <v>22</v>
      </c>
      <c r="B58" s="9" t="s">
        <v>957</v>
      </c>
      <c r="C58" s="9" t="s">
        <v>958</v>
      </c>
      <c r="D58" s="9" t="s">
        <v>963</v>
      </c>
      <c r="E58" s="9" t="s">
        <v>964</v>
      </c>
      <c r="F58" s="9" t="s">
        <v>965</v>
      </c>
      <c r="G58" s="9" t="s">
        <v>966</v>
      </c>
      <c r="L58" s="26">
        <f>$I$16*$L$16</f>
        <v>0</v>
      </c>
      <c r="M58" s="26">
        <f>$I$16*$M$16</f>
        <v>0</v>
      </c>
      <c r="N58" s="26">
        <f>$I$16*$N$16</f>
        <v>0</v>
      </c>
      <c r="O58" s="26">
        <f>$I$16*$O$16</f>
        <v>0</v>
      </c>
      <c r="P58" s="26">
        <f>$I$16*$P$16</f>
        <v>0</v>
      </c>
      <c r="Q58" s="26">
        <f>$I$16*$Q$16</f>
        <v>0</v>
      </c>
      <c r="R58" s="26">
        <f>$I$16*$R$16</f>
        <v>0</v>
      </c>
      <c r="S58" s="26">
        <f>$I$16*$S$16</f>
        <v>0</v>
      </c>
      <c r="T58" s="26">
        <f>$I$16*$T$16</f>
        <v>0</v>
      </c>
      <c r="U58" s="26">
        <f>$I$16*$U$16</f>
        <v>0</v>
      </c>
      <c r="V58" s="26">
        <f>$I$16*$V$16</f>
        <v>0</v>
      </c>
      <c r="X58" s="26">
        <f>$I$16*$X$16</f>
        <v>0</v>
      </c>
      <c r="Y58" s="26">
        <f>$I$16*$Y$16</f>
        <v>0</v>
      </c>
      <c r="Z58" s="26">
        <f>$I$16*$Z$16</f>
        <v>0</v>
      </c>
      <c r="AA58" s="26">
        <f>$I$16*$AA$16</f>
        <v>0</v>
      </c>
      <c r="AB58" s="26">
        <f>$I$16*$AB$16</f>
        <v>0</v>
      </c>
      <c r="AC58" s="26">
        <f>$I$16*$AC$16</f>
        <v>0</v>
      </c>
      <c r="AD58" s="26">
        <f>$I$16*$AD$16</f>
        <v>0</v>
      </c>
      <c r="AE58" s="26">
        <f>$I$16*$AE$16</f>
        <v>0</v>
      </c>
      <c r="AF58" s="26">
        <f>$I$16*$AF$16</f>
        <v>0</v>
      </c>
      <c r="AG58" s="26">
        <f>$I$16*$AG$16</f>
        <v>0</v>
      </c>
      <c r="AH58" s="26">
        <f>$I$16*$AH$16</f>
        <v>0</v>
      </c>
    </row>
    <row r="59" spans="1:34" ht="11.25" customHeight="1" x14ac:dyDescent="0.25">
      <c r="A59" s="9" t="s">
        <v>22</v>
      </c>
      <c r="B59" s="9" t="s">
        <v>957</v>
      </c>
      <c r="C59" s="9" t="s">
        <v>958</v>
      </c>
      <c r="D59" s="9" t="s">
        <v>967</v>
      </c>
      <c r="E59" s="9" t="s">
        <v>968</v>
      </c>
      <c r="F59" s="9" t="s">
        <v>969</v>
      </c>
      <c r="G59" s="9" t="s">
        <v>970</v>
      </c>
      <c r="L59" s="26">
        <f>$I$17*$L$17</f>
        <v>0</v>
      </c>
      <c r="M59" s="26">
        <f>$I$17*$M$17</f>
        <v>0</v>
      </c>
      <c r="N59" s="26">
        <f>$I$17*$N$17</f>
        <v>0</v>
      </c>
      <c r="O59" s="26">
        <f>$I$17*$O$17</f>
        <v>0</v>
      </c>
      <c r="P59" s="26">
        <f>$I$17*$P$17</f>
        <v>0</v>
      </c>
      <c r="Q59" s="26">
        <f>$I$17*$Q$17</f>
        <v>0</v>
      </c>
      <c r="R59" s="26">
        <f>$I$17*$R$17</f>
        <v>0</v>
      </c>
      <c r="S59" s="26">
        <f>$I$17*$S$17</f>
        <v>0</v>
      </c>
      <c r="T59" s="26">
        <f>$I$17*$T$17</f>
        <v>0</v>
      </c>
      <c r="U59" s="26">
        <f>$I$17*$U$17</f>
        <v>0</v>
      </c>
      <c r="V59" s="26">
        <f>$I$17*$V$17</f>
        <v>0</v>
      </c>
      <c r="X59" s="26">
        <f>$I$17*$X$17</f>
        <v>0</v>
      </c>
      <c r="Y59" s="26">
        <f>$I$17*$Y$17</f>
        <v>0</v>
      </c>
      <c r="Z59" s="26">
        <f>$I$17*$Z$17</f>
        <v>0</v>
      </c>
      <c r="AA59" s="26">
        <f>$I$17*$AA$17</f>
        <v>0</v>
      </c>
      <c r="AB59" s="26">
        <f>$I$17*$AB$17</f>
        <v>0</v>
      </c>
      <c r="AC59" s="26">
        <f>$I$17*$AC$17</f>
        <v>0</v>
      </c>
      <c r="AD59" s="26">
        <f>$I$17*$AD$17</f>
        <v>0</v>
      </c>
      <c r="AE59" s="26">
        <f>$I$17*$AE$17</f>
        <v>0</v>
      </c>
      <c r="AF59" s="26">
        <f>$I$17*$AF$17</f>
        <v>0</v>
      </c>
      <c r="AG59" s="26">
        <f>$I$17*$AG$17</f>
        <v>0</v>
      </c>
      <c r="AH59" s="26">
        <f>$I$17*$AH$17</f>
        <v>0</v>
      </c>
    </row>
    <row r="60" spans="1:34" ht="11.25" customHeight="1" x14ac:dyDescent="0.25">
      <c r="A60" s="9" t="s">
        <v>22</v>
      </c>
      <c r="B60" s="9" t="s">
        <v>957</v>
      </c>
      <c r="C60" s="9" t="s">
        <v>958</v>
      </c>
      <c r="D60" s="9" t="s">
        <v>971</v>
      </c>
      <c r="E60" s="9" t="s">
        <v>972</v>
      </c>
      <c r="F60" s="9" t="s">
        <v>973</v>
      </c>
      <c r="G60" s="9" t="s">
        <v>974</v>
      </c>
      <c r="L60" s="26">
        <f>$I$18*$L$18</f>
        <v>0</v>
      </c>
      <c r="M60" s="26">
        <f>$I$18*$M$18</f>
        <v>0</v>
      </c>
      <c r="N60" s="26">
        <f>$I$18*$N$18</f>
        <v>0</v>
      </c>
      <c r="O60" s="26">
        <f>$I$18*$O$18</f>
        <v>0</v>
      </c>
      <c r="P60" s="26">
        <f>$I$18*$P$18</f>
        <v>0</v>
      </c>
      <c r="Q60" s="26">
        <f>$I$18*$Q$18</f>
        <v>0</v>
      </c>
      <c r="R60" s="26">
        <f>$I$18*$R$18</f>
        <v>0</v>
      </c>
      <c r="S60" s="26">
        <f>$I$18*$S$18</f>
        <v>0</v>
      </c>
      <c r="T60" s="26">
        <f>$I$18*$T$18</f>
        <v>0</v>
      </c>
      <c r="U60" s="26">
        <f>$I$18*$U$18</f>
        <v>0</v>
      </c>
      <c r="V60" s="26">
        <f>$I$18*$V$18</f>
        <v>0</v>
      </c>
      <c r="X60" s="26">
        <f>$I$18*$X$18</f>
        <v>0</v>
      </c>
      <c r="Y60" s="26">
        <f>$I$18*$Y$18</f>
        <v>0</v>
      </c>
      <c r="Z60" s="26">
        <f>$I$18*$Z$18</f>
        <v>0</v>
      </c>
      <c r="AA60" s="26">
        <f>$I$18*$AA$18</f>
        <v>0</v>
      </c>
      <c r="AB60" s="26">
        <f>$I$18*$AB$18</f>
        <v>0</v>
      </c>
      <c r="AC60" s="26">
        <f>$I$18*$AC$18</f>
        <v>0</v>
      </c>
      <c r="AD60" s="26">
        <f>$I$18*$AD$18</f>
        <v>0</v>
      </c>
      <c r="AE60" s="26">
        <f>$I$18*$AE$18</f>
        <v>0</v>
      </c>
      <c r="AF60" s="26">
        <f>$I$18*$AF$18</f>
        <v>0</v>
      </c>
      <c r="AG60" s="26">
        <f>$I$18*$AG$18</f>
        <v>0</v>
      </c>
      <c r="AH60" s="26">
        <f>$I$18*$AH$18</f>
        <v>0</v>
      </c>
    </row>
    <row r="61" spans="1:34" ht="11.25" customHeight="1" x14ac:dyDescent="0.25">
      <c r="A61" s="9" t="s">
        <v>22</v>
      </c>
      <c r="B61" s="9" t="s">
        <v>957</v>
      </c>
      <c r="C61" s="9" t="s">
        <v>958</v>
      </c>
      <c r="D61" s="9" t="s">
        <v>975</v>
      </c>
      <c r="E61" s="9" t="s">
        <v>976</v>
      </c>
      <c r="F61" s="9" t="s">
        <v>977</v>
      </c>
      <c r="G61" s="9" t="s">
        <v>978</v>
      </c>
      <c r="L61" s="26">
        <f>$I$19*$L$19</f>
        <v>0</v>
      </c>
      <c r="M61" s="26">
        <f>$I$19*$M$19</f>
        <v>0</v>
      </c>
      <c r="N61" s="26">
        <f>$I$19*$N$19</f>
        <v>0</v>
      </c>
      <c r="O61" s="26">
        <f>$I$19*$O$19</f>
        <v>0</v>
      </c>
      <c r="P61" s="26">
        <f>$I$19*$P$19</f>
        <v>0</v>
      </c>
      <c r="Q61" s="26">
        <f>$I$19*$Q$19</f>
        <v>0</v>
      </c>
      <c r="R61" s="26">
        <f>$I$19*$R$19</f>
        <v>0</v>
      </c>
      <c r="S61" s="26">
        <f>$I$19*$S$19</f>
        <v>0</v>
      </c>
      <c r="T61" s="26">
        <f>$I$19*$T$19</f>
        <v>0</v>
      </c>
      <c r="U61" s="26">
        <f>$I$19*$U$19</f>
        <v>0</v>
      </c>
      <c r="V61" s="26">
        <f>$I$19*$V$19</f>
        <v>0</v>
      </c>
      <c r="X61" s="26">
        <f>$I$19*$X$19</f>
        <v>0</v>
      </c>
      <c r="Y61" s="26">
        <f>$I$19*$Y$19</f>
        <v>0</v>
      </c>
      <c r="Z61" s="26">
        <f>$I$19*$Z$19</f>
        <v>0</v>
      </c>
      <c r="AA61" s="26">
        <f>$I$19*$AA$19</f>
        <v>0</v>
      </c>
      <c r="AB61" s="26">
        <f>$I$19*$AB$19</f>
        <v>0</v>
      </c>
      <c r="AC61" s="26">
        <f>$I$19*$AC$19</f>
        <v>0</v>
      </c>
      <c r="AD61" s="26">
        <f>$I$19*$AD$19</f>
        <v>0</v>
      </c>
      <c r="AE61" s="26">
        <f>$I$19*$AE$19</f>
        <v>0</v>
      </c>
      <c r="AF61" s="26">
        <f>$I$19*$AF$19</f>
        <v>0</v>
      </c>
      <c r="AG61" s="26">
        <f>$I$19*$AG$19</f>
        <v>0</v>
      </c>
      <c r="AH61" s="26">
        <f>$I$19*$AH$19</f>
        <v>0</v>
      </c>
    </row>
    <row r="62" spans="1:34" ht="11.25" customHeight="1" x14ac:dyDescent="0.25">
      <c r="A62" s="9" t="s">
        <v>43</v>
      </c>
      <c r="B62" s="9" t="s">
        <v>979</v>
      </c>
      <c r="C62" s="9" t="s">
        <v>980</v>
      </c>
      <c r="D62" s="9" t="s">
        <v>981</v>
      </c>
      <c r="E62" s="9" t="s">
        <v>982</v>
      </c>
      <c r="F62" s="9" t="s">
        <v>983</v>
      </c>
      <c r="G62" s="9" t="s">
        <v>984</v>
      </c>
      <c r="L62" s="26">
        <f>$I$20*$L$20</f>
        <v>0</v>
      </c>
      <c r="M62" s="26">
        <f>$I$20*$M$20</f>
        <v>0</v>
      </c>
      <c r="N62" s="26">
        <f>$I$20*$N$20</f>
        <v>0</v>
      </c>
      <c r="O62" s="26">
        <f>$I$20*$O$20</f>
        <v>0</v>
      </c>
      <c r="P62" s="26">
        <f>$I$20*$P$20</f>
        <v>0</v>
      </c>
      <c r="Q62" s="26">
        <f>$I$20*$Q$20</f>
        <v>0</v>
      </c>
      <c r="R62" s="26">
        <f>$I$20*$R$20</f>
        <v>0</v>
      </c>
      <c r="S62" s="26">
        <f>$I$20*$S$20</f>
        <v>0</v>
      </c>
      <c r="T62" s="26">
        <f>$I$20*$T$20</f>
        <v>0</v>
      </c>
      <c r="U62" s="26">
        <f>$I$20*$U$20</f>
        <v>0</v>
      </c>
      <c r="V62" s="26">
        <f>$I$20*$V$20</f>
        <v>0</v>
      </c>
      <c r="X62" s="26">
        <f>$I$20*$X$20</f>
        <v>0</v>
      </c>
      <c r="Y62" s="26">
        <f>$I$20*$Y$20</f>
        <v>0</v>
      </c>
      <c r="Z62" s="26">
        <f>$I$20*$Z$20</f>
        <v>0</v>
      </c>
      <c r="AA62" s="26">
        <f>$I$20*$AA$20</f>
        <v>0</v>
      </c>
      <c r="AB62" s="26">
        <f>$I$20*$AB$20</f>
        <v>0</v>
      </c>
      <c r="AC62" s="26">
        <f>$I$20*$AC$20</f>
        <v>0</v>
      </c>
      <c r="AD62" s="26">
        <f>$I$20*$AD$20</f>
        <v>0</v>
      </c>
      <c r="AE62" s="26">
        <f>$I$20*$AE$20</f>
        <v>0</v>
      </c>
      <c r="AF62" s="26">
        <f>$I$20*$AF$20</f>
        <v>0</v>
      </c>
      <c r="AG62" s="26">
        <f>$I$20*$AG$20</f>
        <v>0</v>
      </c>
      <c r="AH62" s="26">
        <f>$I$20*$AH$20</f>
        <v>0</v>
      </c>
    </row>
    <row r="63" spans="1:34" ht="11.25" customHeight="1" x14ac:dyDescent="0.25">
      <c r="A63" s="9" t="s">
        <v>43</v>
      </c>
      <c r="B63" s="9" t="s">
        <v>979</v>
      </c>
      <c r="C63" s="9" t="s">
        <v>980</v>
      </c>
      <c r="D63" s="9" t="s">
        <v>981</v>
      </c>
      <c r="E63" s="9" t="s">
        <v>982</v>
      </c>
      <c r="F63" s="9" t="s">
        <v>983</v>
      </c>
      <c r="G63" s="9" t="s">
        <v>985</v>
      </c>
      <c r="L63" s="26">
        <f>$I$21*$L$21</f>
        <v>0</v>
      </c>
      <c r="M63" s="26">
        <f>$I$21*$M$21</f>
        <v>0</v>
      </c>
      <c r="N63" s="26">
        <f>$I$21*$N$21</f>
        <v>0</v>
      </c>
      <c r="O63" s="26">
        <f>$I$21*$O$21</f>
        <v>0</v>
      </c>
      <c r="P63" s="26">
        <f>$I$21*$P$21</f>
        <v>0</v>
      </c>
      <c r="Q63" s="26">
        <f>$I$21*$Q$21</f>
        <v>0</v>
      </c>
      <c r="R63" s="26">
        <f>$I$21*$R$21</f>
        <v>0</v>
      </c>
      <c r="S63" s="26">
        <f>$I$21*$S$21</f>
        <v>0</v>
      </c>
      <c r="T63" s="26">
        <f>$I$21*$T$21</f>
        <v>0</v>
      </c>
      <c r="U63" s="26">
        <f>$I$21*$U$21</f>
        <v>0</v>
      </c>
      <c r="V63" s="26">
        <f>$I$21*$V$21</f>
        <v>0</v>
      </c>
      <c r="X63" s="26">
        <f>$I$21*$X$21</f>
        <v>0</v>
      </c>
      <c r="Y63" s="26">
        <f>$I$21*$Y$21</f>
        <v>0</v>
      </c>
      <c r="Z63" s="26">
        <f>$I$21*$Z$21</f>
        <v>0</v>
      </c>
      <c r="AA63" s="26">
        <f>$I$21*$AA$21</f>
        <v>0</v>
      </c>
      <c r="AB63" s="26">
        <f>$I$21*$AB$21</f>
        <v>0</v>
      </c>
      <c r="AC63" s="26">
        <f>$I$21*$AC$21</f>
        <v>0</v>
      </c>
      <c r="AD63" s="26">
        <f>$I$21*$AD$21</f>
        <v>0</v>
      </c>
      <c r="AE63" s="26">
        <f>$I$21*$AE$21</f>
        <v>0</v>
      </c>
      <c r="AF63" s="26">
        <f>$I$21*$AF$21</f>
        <v>0</v>
      </c>
      <c r="AG63" s="26">
        <f>$I$21*$AG$21</f>
        <v>0</v>
      </c>
      <c r="AH63" s="26">
        <f>$I$21*$AH$21</f>
        <v>0</v>
      </c>
    </row>
    <row r="64" spans="1:34" ht="11.25" customHeight="1" x14ac:dyDescent="0.25">
      <c r="A64" s="9" t="s">
        <v>43</v>
      </c>
      <c r="B64" s="9" t="s">
        <v>979</v>
      </c>
      <c r="C64" s="9" t="s">
        <v>980</v>
      </c>
      <c r="D64" s="9" t="s">
        <v>981</v>
      </c>
      <c r="E64" s="9" t="s">
        <v>982</v>
      </c>
      <c r="F64" s="9" t="s">
        <v>983</v>
      </c>
      <c r="G64" s="9" t="s">
        <v>986</v>
      </c>
      <c r="L64" s="26">
        <f>$I$22*$L$22</f>
        <v>0</v>
      </c>
      <c r="M64" s="26">
        <f>$I$22*$M$22</f>
        <v>0</v>
      </c>
      <c r="N64" s="26">
        <f>$I$22*$N$22</f>
        <v>0</v>
      </c>
      <c r="O64" s="26">
        <f>$I$22*$O$22</f>
        <v>0</v>
      </c>
      <c r="P64" s="26">
        <f>$I$22*$P$22</f>
        <v>0</v>
      </c>
      <c r="Q64" s="26">
        <f>$I$22*$Q$22</f>
        <v>0</v>
      </c>
      <c r="R64" s="26">
        <f>$I$22*$R$22</f>
        <v>0</v>
      </c>
      <c r="S64" s="26">
        <f>$I$22*$S$22</f>
        <v>0</v>
      </c>
      <c r="T64" s="26">
        <f>$I$22*$T$22</f>
        <v>0</v>
      </c>
      <c r="U64" s="26">
        <f>$I$22*$U$22</f>
        <v>0</v>
      </c>
      <c r="V64" s="26">
        <f>$I$22*$V$22</f>
        <v>0</v>
      </c>
      <c r="X64" s="26">
        <f>$I$22*$X$22</f>
        <v>0</v>
      </c>
      <c r="Y64" s="26">
        <f>$I$22*$Y$22</f>
        <v>0</v>
      </c>
      <c r="Z64" s="26">
        <f>$I$22*$Z$22</f>
        <v>0</v>
      </c>
      <c r="AA64" s="26">
        <f>$I$22*$AA$22</f>
        <v>0</v>
      </c>
      <c r="AB64" s="26">
        <f>$I$22*$AB$22</f>
        <v>0</v>
      </c>
      <c r="AC64" s="26">
        <f>$I$22*$AC$22</f>
        <v>0</v>
      </c>
      <c r="AD64" s="26">
        <f>$I$22*$AD$22</f>
        <v>0</v>
      </c>
      <c r="AE64" s="26">
        <f>$I$22*$AE$22</f>
        <v>0</v>
      </c>
      <c r="AF64" s="26">
        <f>$I$22*$AF$22</f>
        <v>0</v>
      </c>
      <c r="AG64" s="26">
        <f>$I$22*$AG$22</f>
        <v>0</v>
      </c>
      <c r="AH64" s="26">
        <f>$I$22*$AH$22</f>
        <v>0</v>
      </c>
    </row>
    <row r="65" spans="1:34" ht="11.25" customHeight="1" x14ac:dyDescent="0.25">
      <c r="A65" s="9" t="s">
        <v>43</v>
      </c>
      <c r="B65" s="9" t="s">
        <v>987</v>
      </c>
      <c r="C65" s="9" t="s">
        <v>988</v>
      </c>
      <c r="D65" s="9" t="s">
        <v>989</v>
      </c>
      <c r="E65" s="9" t="s">
        <v>990</v>
      </c>
      <c r="F65" s="9" t="s">
        <v>991</v>
      </c>
      <c r="G65" s="9" t="s">
        <v>992</v>
      </c>
      <c r="L65" s="26">
        <f>$I$23*$L$23</f>
        <v>0</v>
      </c>
      <c r="M65" s="26">
        <f>$I$23*$M$23</f>
        <v>0</v>
      </c>
      <c r="N65" s="26">
        <f>$I$23*$N$23</f>
        <v>0</v>
      </c>
      <c r="O65" s="26">
        <f>$I$23*$O$23</f>
        <v>0</v>
      </c>
      <c r="P65" s="26">
        <f>$I$23*$P$23</f>
        <v>0</v>
      </c>
      <c r="Q65" s="26">
        <f>$I$23*$Q$23</f>
        <v>411147.16926447803</v>
      </c>
      <c r="R65" s="26">
        <f>$I$23*$R$23</f>
        <v>0</v>
      </c>
      <c r="S65" s="26">
        <f>$I$23*$S$23</f>
        <v>0</v>
      </c>
      <c r="T65" s="26">
        <f>$I$23*$T$23</f>
        <v>0</v>
      </c>
      <c r="U65" s="26">
        <f>$I$23*$U$23</f>
        <v>0</v>
      </c>
      <c r="V65" s="26">
        <f>$I$23*$V$23</f>
        <v>0</v>
      </c>
      <c r="X65" s="26">
        <f>$I$23*$X$23</f>
        <v>0</v>
      </c>
      <c r="Y65" s="26">
        <f>$I$23*$Y$23</f>
        <v>0</v>
      </c>
      <c r="Z65" s="26">
        <f>$I$23*$Z$23</f>
        <v>0</v>
      </c>
      <c r="AA65" s="26">
        <f>$I$23*$AA$23</f>
        <v>0</v>
      </c>
      <c r="AB65" s="26">
        <f>$I$23*$AB$23</f>
        <v>0</v>
      </c>
      <c r="AC65" s="26">
        <f>$I$23*$AC$23</f>
        <v>423328.44455922715</v>
      </c>
      <c r="AD65" s="26">
        <f>$I$23*$AD$23</f>
        <v>0</v>
      </c>
      <c r="AE65" s="26">
        <f>$I$23*$AE$23</f>
        <v>0</v>
      </c>
      <c r="AF65" s="26">
        <f>$I$23*$AF$23</f>
        <v>0</v>
      </c>
      <c r="AG65" s="26">
        <f>$I$23*$AG$23</f>
        <v>0</v>
      </c>
      <c r="AH65" s="26">
        <f>$I$23*$AH$23</f>
        <v>0</v>
      </c>
    </row>
    <row r="66" spans="1:34" ht="11.25" customHeight="1" x14ac:dyDescent="0.25">
      <c r="A66" s="9" t="s">
        <v>43</v>
      </c>
      <c r="B66" s="9" t="s">
        <v>979</v>
      </c>
      <c r="C66" s="9" t="s">
        <v>980</v>
      </c>
      <c r="D66" s="9" t="s">
        <v>993</v>
      </c>
      <c r="E66" s="9" t="s">
        <v>994</v>
      </c>
      <c r="F66" s="9" t="s">
        <v>995</v>
      </c>
      <c r="G66" s="9" t="s">
        <v>996</v>
      </c>
      <c r="L66" s="26">
        <f>$I$24*$L$24</f>
        <v>0</v>
      </c>
      <c r="M66" s="26">
        <f>$I$24*$M$24</f>
        <v>0</v>
      </c>
      <c r="N66" s="26">
        <f>$I$24*$N$24</f>
        <v>0</v>
      </c>
      <c r="O66" s="26">
        <f>$I$24*$O$24</f>
        <v>0</v>
      </c>
      <c r="P66" s="26">
        <f>$I$24*$P$24</f>
        <v>0</v>
      </c>
      <c r="Q66" s="26">
        <f>$I$24*$Q$24</f>
        <v>0</v>
      </c>
      <c r="R66" s="26">
        <f>$I$24*$R$24</f>
        <v>0</v>
      </c>
      <c r="S66" s="26">
        <f>$I$24*$S$24</f>
        <v>0</v>
      </c>
      <c r="T66" s="26">
        <f>$I$24*$T$24</f>
        <v>0</v>
      </c>
      <c r="U66" s="26">
        <f>$I$24*$U$24</f>
        <v>0</v>
      </c>
      <c r="V66" s="26">
        <f>$I$24*$V$24</f>
        <v>0</v>
      </c>
      <c r="X66" s="26">
        <f>$I$24*$X$24</f>
        <v>0</v>
      </c>
      <c r="Y66" s="26">
        <f>$I$24*$Y$24</f>
        <v>0</v>
      </c>
      <c r="Z66" s="26">
        <f>$I$24*$Z$24</f>
        <v>0</v>
      </c>
      <c r="AA66" s="26">
        <f>$I$24*$AA$24</f>
        <v>0</v>
      </c>
      <c r="AB66" s="26">
        <f>$I$24*$AB$24</f>
        <v>0</v>
      </c>
      <c r="AC66" s="26">
        <f>$I$24*$AC$24</f>
        <v>0</v>
      </c>
      <c r="AD66" s="26">
        <f>$I$24*$AD$24</f>
        <v>0</v>
      </c>
      <c r="AE66" s="26">
        <f>$I$24*$AE$24</f>
        <v>0</v>
      </c>
      <c r="AF66" s="26">
        <f>$I$24*$AF$24</f>
        <v>0</v>
      </c>
      <c r="AG66" s="26">
        <f>$I$24*$AG$24</f>
        <v>0</v>
      </c>
      <c r="AH66" s="26">
        <f>$I$24*$AH$24</f>
        <v>0</v>
      </c>
    </row>
    <row r="67" spans="1:34" ht="11.25" customHeight="1" x14ac:dyDescent="0.25">
      <c r="A67" s="9" t="s">
        <v>43</v>
      </c>
      <c r="B67" s="9" t="s">
        <v>979</v>
      </c>
      <c r="C67" s="9" t="s">
        <v>980</v>
      </c>
      <c r="D67" s="9" t="s">
        <v>993</v>
      </c>
      <c r="E67" s="9" t="s">
        <v>994</v>
      </c>
      <c r="F67" s="9" t="s">
        <v>995</v>
      </c>
      <c r="G67" s="9" t="s">
        <v>997</v>
      </c>
      <c r="L67" s="26">
        <f>$I$25*$L$25</f>
        <v>0</v>
      </c>
      <c r="M67" s="26">
        <f>$I$25*$M$25</f>
        <v>0</v>
      </c>
      <c r="N67" s="26">
        <f>$I$25*$N$25</f>
        <v>0</v>
      </c>
      <c r="O67" s="26">
        <f>$I$25*$O$25</f>
        <v>0</v>
      </c>
      <c r="P67" s="26">
        <f>$I$25*$P$25</f>
        <v>0</v>
      </c>
      <c r="Q67" s="26">
        <f>$I$25*$Q$25</f>
        <v>0</v>
      </c>
      <c r="R67" s="26">
        <f>$I$25*$R$25</f>
        <v>0</v>
      </c>
      <c r="S67" s="26">
        <f>$I$25*$S$25</f>
        <v>0</v>
      </c>
      <c r="T67" s="26">
        <f>$I$25*$T$25</f>
        <v>0</v>
      </c>
      <c r="U67" s="26">
        <f>$I$25*$U$25</f>
        <v>0</v>
      </c>
      <c r="V67" s="26">
        <f>$I$25*$V$25</f>
        <v>0</v>
      </c>
      <c r="X67" s="26">
        <f>$I$25*$X$25</f>
        <v>0</v>
      </c>
      <c r="Y67" s="26">
        <f>$I$25*$Y$25</f>
        <v>0</v>
      </c>
      <c r="Z67" s="26">
        <f>$I$25*$Z$25</f>
        <v>0</v>
      </c>
      <c r="AA67" s="26">
        <f>$I$25*$AA$25</f>
        <v>0</v>
      </c>
      <c r="AB67" s="26">
        <f>$I$25*$AB$25</f>
        <v>0</v>
      </c>
      <c r="AC67" s="26">
        <f>$I$25*$AC$25</f>
        <v>0</v>
      </c>
      <c r="AD67" s="26">
        <f>$I$25*$AD$25</f>
        <v>0</v>
      </c>
      <c r="AE67" s="26">
        <f>$I$25*$AE$25</f>
        <v>0</v>
      </c>
      <c r="AF67" s="26">
        <f>$I$25*$AF$25</f>
        <v>0</v>
      </c>
      <c r="AG67" s="26">
        <f>$I$25*$AG$25</f>
        <v>0</v>
      </c>
      <c r="AH67" s="26">
        <f>$I$25*$AH$25</f>
        <v>0</v>
      </c>
    </row>
    <row r="68" spans="1:34" ht="11.25" customHeight="1" x14ac:dyDescent="0.25">
      <c r="A68" s="9" t="s">
        <v>43</v>
      </c>
      <c r="B68" s="9" t="s">
        <v>979</v>
      </c>
      <c r="C68" s="9" t="s">
        <v>980</v>
      </c>
      <c r="D68" s="9" t="s">
        <v>993</v>
      </c>
      <c r="E68" s="9" t="s">
        <v>994</v>
      </c>
      <c r="F68" s="9" t="s">
        <v>995</v>
      </c>
      <c r="G68" s="9" t="s">
        <v>998</v>
      </c>
      <c r="L68" s="26">
        <f>$I$26*$L$26</f>
        <v>0</v>
      </c>
      <c r="M68" s="26">
        <f>$I$26*$M$26</f>
        <v>0</v>
      </c>
      <c r="N68" s="26">
        <f>$I$26*$N$26</f>
        <v>0</v>
      </c>
      <c r="O68" s="26">
        <f>$I$26*$O$26</f>
        <v>0</v>
      </c>
      <c r="P68" s="26">
        <f>$I$26*$P$26</f>
        <v>0</v>
      </c>
      <c r="Q68" s="26">
        <f>$I$26*$Q$26</f>
        <v>0</v>
      </c>
      <c r="R68" s="26">
        <f>$I$26*$R$26</f>
        <v>0</v>
      </c>
      <c r="S68" s="26">
        <f>$I$26*$S$26</f>
        <v>0</v>
      </c>
      <c r="T68" s="26">
        <f>$I$26*$T$26</f>
        <v>0</v>
      </c>
      <c r="U68" s="26">
        <f>$I$26*$U$26</f>
        <v>0</v>
      </c>
      <c r="V68" s="26">
        <f>$I$26*$V$26</f>
        <v>0</v>
      </c>
      <c r="X68" s="26">
        <f>$I$26*$X$26</f>
        <v>0</v>
      </c>
      <c r="Y68" s="26">
        <f>$I$26*$Y$26</f>
        <v>0</v>
      </c>
      <c r="Z68" s="26">
        <f>$I$26*$Z$26</f>
        <v>0</v>
      </c>
      <c r="AA68" s="26">
        <f>$I$26*$AA$26</f>
        <v>0</v>
      </c>
      <c r="AB68" s="26">
        <f>$I$26*$AB$26</f>
        <v>0</v>
      </c>
      <c r="AC68" s="26">
        <f>$I$26*$AC$26</f>
        <v>0</v>
      </c>
      <c r="AD68" s="26">
        <f>$I$26*$AD$26</f>
        <v>0</v>
      </c>
      <c r="AE68" s="26">
        <f>$I$26*$AE$26</f>
        <v>0</v>
      </c>
      <c r="AF68" s="26">
        <f>$I$26*$AF$26</f>
        <v>0</v>
      </c>
      <c r="AG68" s="26">
        <f>$I$26*$AG$26</f>
        <v>0</v>
      </c>
      <c r="AH68" s="26">
        <f>$I$26*$AH$26</f>
        <v>0</v>
      </c>
    </row>
    <row r="69" spans="1:34" ht="11.25" customHeight="1" x14ac:dyDescent="0.25">
      <c r="A69" s="9" t="s">
        <v>43</v>
      </c>
      <c r="B69" s="9" t="s">
        <v>987</v>
      </c>
      <c r="C69" s="9" t="s">
        <v>988</v>
      </c>
      <c r="D69" s="9" t="s">
        <v>999</v>
      </c>
      <c r="E69" s="9" t="s">
        <v>1000</v>
      </c>
      <c r="F69" s="9" t="s">
        <v>1001</v>
      </c>
      <c r="G69" s="9" t="s">
        <v>1002</v>
      </c>
      <c r="L69" s="26">
        <f>$I$27*$L$27</f>
        <v>0</v>
      </c>
      <c r="M69" s="26">
        <f>$I$27*$M$27</f>
        <v>0</v>
      </c>
      <c r="N69" s="26">
        <f>$I$27*$N$27</f>
        <v>0</v>
      </c>
      <c r="O69" s="26">
        <f>$I$27*$O$27</f>
        <v>0</v>
      </c>
      <c r="P69" s="26">
        <f>$I$27*$P$27</f>
        <v>0</v>
      </c>
      <c r="Q69" s="26">
        <f>$I$27*$Q$27</f>
        <v>0</v>
      </c>
      <c r="R69" s="26">
        <f>$I$27*$R$27</f>
        <v>0</v>
      </c>
      <c r="S69" s="26">
        <f>$I$27*$S$27</f>
        <v>0</v>
      </c>
      <c r="T69" s="26">
        <f>$I$27*$T$27</f>
        <v>0</v>
      </c>
      <c r="U69" s="26">
        <f>$I$27*$U$27</f>
        <v>0</v>
      </c>
      <c r="V69" s="26">
        <f>$I$27*$V$27</f>
        <v>0</v>
      </c>
      <c r="X69" s="26">
        <f>$I$27*$X$27</f>
        <v>0</v>
      </c>
      <c r="Y69" s="26">
        <f>$I$27*$Y$27</f>
        <v>0</v>
      </c>
      <c r="Z69" s="26">
        <f>$I$27*$Z$27</f>
        <v>0</v>
      </c>
      <c r="AA69" s="26">
        <f>$I$27*$AA$27</f>
        <v>0</v>
      </c>
      <c r="AB69" s="26">
        <f>$I$27*$AB$27</f>
        <v>0</v>
      </c>
      <c r="AC69" s="26">
        <f>$I$27*$AC$27</f>
        <v>0</v>
      </c>
      <c r="AD69" s="26">
        <f>$I$27*$AD$27</f>
        <v>0</v>
      </c>
      <c r="AE69" s="26">
        <f>$I$27*$AE$27</f>
        <v>0</v>
      </c>
      <c r="AF69" s="26">
        <f>$I$27*$AF$27</f>
        <v>0</v>
      </c>
      <c r="AG69" s="26">
        <f>$I$27*$AG$27</f>
        <v>0</v>
      </c>
      <c r="AH69" s="26">
        <f>$I$27*$AH$27</f>
        <v>0</v>
      </c>
    </row>
    <row r="70" spans="1:34" ht="11.25" customHeight="1" x14ac:dyDescent="0.25">
      <c r="A70" s="9" t="s">
        <v>43</v>
      </c>
      <c r="B70" s="9" t="s">
        <v>979</v>
      </c>
      <c r="C70" s="9" t="s">
        <v>980</v>
      </c>
      <c r="D70" s="9" t="s">
        <v>1003</v>
      </c>
      <c r="E70" s="9" t="s">
        <v>1004</v>
      </c>
      <c r="F70" s="9" t="s">
        <v>1005</v>
      </c>
      <c r="G70" s="9" t="s">
        <v>1006</v>
      </c>
      <c r="L70" s="26">
        <f>$I$28*$L$28</f>
        <v>0</v>
      </c>
      <c r="M70" s="26">
        <f>$I$28*$M$28</f>
        <v>0</v>
      </c>
      <c r="N70" s="26">
        <f>$I$28*$N$28</f>
        <v>0</v>
      </c>
      <c r="O70" s="26">
        <f>$I$28*$O$28</f>
        <v>0</v>
      </c>
      <c r="P70" s="26">
        <f>$I$28*$P$28</f>
        <v>0</v>
      </c>
      <c r="Q70" s="26">
        <f>$I$28*$Q$28</f>
        <v>0</v>
      </c>
      <c r="R70" s="26">
        <f>$I$28*$R$28</f>
        <v>0</v>
      </c>
      <c r="S70" s="26">
        <f>$I$28*$S$28</f>
        <v>0</v>
      </c>
      <c r="T70" s="26">
        <f>$I$28*$T$28</f>
        <v>0</v>
      </c>
      <c r="U70" s="26">
        <f>$I$28*$U$28</f>
        <v>0</v>
      </c>
      <c r="V70" s="26">
        <f>$I$28*$V$28</f>
        <v>0</v>
      </c>
      <c r="X70" s="26">
        <f>$I$28*$X$28</f>
        <v>0</v>
      </c>
      <c r="Y70" s="26">
        <f>$I$28*$Y$28</f>
        <v>0</v>
      </c>
      <c r="Z70" s="26">
        <f>$I$28*$Z$28</f>
        <v>0</v>
      </c>
      <c r="AA70" s="26">
        <f>$I$28*$AA$28</f>
        <v>0</v>
      </c>
      <c r="AB70" s="26">
        <f>$I$28*$AB$28</f>
        <v>0</v>
      </c>
      <c r="AC70" s="26">
        <f>$I$28*$AC$28</f>
        <v>0</v>
      </c>
      <c r="AD70" s="26">
        <f>$I$28*$AD$28</f>
        <v>0</v>
      </c>
      <c r="AE70" s="26">
        <f>$I$28*$AE$28</f>
        <v>0</v>
      </c>
      <c r="AF70" s="26">
        <f>$I$28*$AF$28</f>
        <v>0</v>
      </c>
      <c r="AG70" s="26">
        <f>$I$28*$AG$28</f>
        <v>0</v>
      </c>
      <c r="AH70" s="26">
        <f>$I$28*$AH$28</f>
        <v>0</v>
      </c>
    </row>
    <row r="71" spans="1:34" ht="11.25" customHeight="1" x14ac:dyDescent="0.25">
      <c r="A71" s="9" t="s">
        <v>43</v>
      </c>
      <c r="B71" s="9" t="s">
        <v>979</v>
      </c>
      <c r="C71" s="9" t="s">
        <v>980</v>
      </c>
      <c r="D71" s="9" t="s">
        <v>1003</v>
      </c>
      <c r="E71" s="9" t="s">
        <v>1004</v>
      </c>
      <c r="F71" s="9" t="s">
        <v>1005</v>
      </c>
      <c r="G71" s="9" t="s">
        <v>1007</v>
      </c>
      <c r="L71" s="26">
        <f>$I$29*$L$29</f>
        <v>0</v>
      </c>
      <c r="M71" s="26">
        <f>$I$29*$M$29</f>
        <v>0</v>
      </c>
      <c r="N71" s="26">
        <f>$I$29*$N$29</f>
        <v>0</v>
      </c>
      <c r="O71" s="26">
        <f>$I$29*$O$29</f>
        <v>0</v>
      </c>
      <c r="P71" s="26">
        <f>$I$29*$P$29</f>
        <v>0</v>
      </c>
      <c r="Q71" s="26">
        <f>$I$29*$Q$29</f>
        <v>0</v>
      </c>
      <c r="R71" s="26">
        <f>$I$29*$R$29</f>
        <v>0</v>
      </c>
      <c r="S71" s="26">
        <f>$I$29*$S$29</f>
        <v>0</v>
      </c>
      <c r="T71" s="26">
        <f>$I$29*$T$29</f>
        <v>0</v>
      </c>
      <c r="U71" s="26">
        <f>$I$29*$U$29</f>
        <v>0</v>
      </c>
      <c r="V71" s="26">
        <f>$I$29*$V$29</f>
        <v>0</v>
      </c>
      <c r="X71" s="26">
        <f>$I$29*$X$29</f>
        <v>0</v>
      </c>
      <c r="Y71" s="26">
        <f>$I$29*$Y$29</f>
        <v>0</v>
      </c>
      <c r="Z71" s="26">
        <f>$I$29*$Z$29</f>
        <v>0</v>
      </c>
      <c r="AA71" s="26">
        <f>$I$29*$AA$29</f>
        <v>0</v>
      </c>
      <c r="AB71" s="26">
        <f>$I$29*$AB$29</f>
        <v>0</v>
      </c>
      <c r="AC71" s="26">
        <f>$I$29*$AC$29</f>
        <v>0</v>
      </c>
      <c r="AD71" s="26">
        <f>$I$29*$AD$29</f>
        <v>0</v>
      </c>
      <c r="AE71" s="26">
        <f>$I$29*$AE$29</f>
        <v>0</v>
      </c>
      <c r="AF71" s="26">
        <f>$I$29*$AF$29</f>
        <v>0</v>
      </c>
      <c r="AG71" s="26">
        <f>$I$29*$AG$29</f>
        <v>0</v>
      </c>
      <c r="AH71" s="26">
        <f>$I$29*$AH$29</f>
        <v>0</v>
      </c>
    </row>
    <row r="72" spans="1:34" ht="11.25" customHeight="1" x14ac:dyDescent="0.25">
      <c r="A72" s="9" t="s">
        <v>43</v>
      </c>
      <c r="B72" s="9" t="s">
        <v>979</v>
      </c>
      <c r="C72" s="9" t="s">
        <v>980</v>
      </c>
      <c r="D72" s="9" t="s">
        <v>1003</v>
      </c>
      <c r="E72" s="9" t="s">
        <v>1004</v>
      </c>
      <c r="F72" s="9" t="s">
        <v>1005</v>
      </c>
      <c r="G72" s="9" t="s">
        <v>1008</v>
      </c>
      <c r="L72" s="26">
        <f>$I$30*$L$30</f>
        <v>0</v>
      </c>
      <c r="M72" s="26">
        <f>$I$30*$M$30</f>
        <v>0</v>
      </c>
      <c r="N72" s="26">
        <f>$I$30*$N$30</f>
        <v>0</v>
      </c>
      <c r="O72" s="26">
        <f>$I$30*$O$30</f>
        <v>0</v>
      </c>
      <c r="P72" s="26">
        <f>$I$30*$P$30</f>
        <v>0</v>
      </c>
      <c r="Q72" s="26">
        <f>$I$30*$Q$30</f>
        <v>0</v>
      </c>
      <c r="R72" s="26">
        <f>$I$30*$R$30</f>
        <v>0</v>
      </c>
      <c r="S72" s="26">
        <f>$I$30*$S$30</f>
        <v>0</v>
      </c>
      <c r="T72" s="26">
        <f>$I$30*$T$30</f>
        <v>0</v>
      </c>
      <c r="U72" s="26">
        <f>$I$30*$U$30</f>
        <v>0</v>
      </c>
      <c r="V72" s="26">
        <f>$I$30*$V$30</f>
        <v>0</v>
      </c>
      <c r="X72" s="26">
        <f>$I$30*$X$30</f>
        <v>0</v>
      </c>
      <c r="Y72" s="26">
        <f>$I$30*$Y$30</f>
        <v>0</v>
      </c>
      <c r="Z72" s="26">
        <f>$I$30*$Z$30</f>
        <v>0</v>
      </c>
      <c r="AA72" s="26">
        <f>$I$30*$AA$30</f>
        <v>0</v>
      </c>
      <c r="AB72" s="26">
        <f>$I$30*$AB$30</f>
        <v>0</v>
      </c>
      <c r="AC72" s="26">
        <f>$I$30*$AC$30</f>
        <v>0</v>
      </c>
      <c r="AD72" s="26">
        <f>$I$30*$AD$30</f>
        <v>0</v>
      </c>
      <c r="AE72" s="26">
        <f>$I$30*$AE$30</f>
        <v>0</v>
      </c>
      <c r="AF72" s="26">
        <f>$I$30*$AF$30</f>
        <v>0</v>
      </c>
      <c r="AG72" s="26">
        <f>$I$30*$AG$30</f>
        <v>0</v>
      </c>
      <c r="AH72" s="26">
        <f>$I$30*$AH$30</f>
        <v>0</v>
      </c>
    </row>
    <row r="73" spans="1:34" ht="11.25" customHeight="1" x14ac:dyDescent="0.25">
      <c r="A73" s="9" t="s">
        <v>43</v>
      </c>
      <c r="B73" s="9" t="s">
        <v>987</v>
      </c>
      <c r="C73" s="9" t="s">
        <v>988</v>
      </c>
      <c r="D73" s="9" t="s">
        <v>1009</v>
      </c>
      <c r="E73" s="9" t="s">
        <v>1010</v>
      </c>
      <c r="F73" s="9" t="s">
        <v>1011</v>
      </c>
      <c r="G73" s="9" t="s">
        <v>1012</v>
      </c>
      <c r="L73" s="26">
        <f>$I$31*$L$31</f>
        <v>0</v>
      </c>
      <c r="M73" s="26">
        <f>$I$31*$M$31</f>
        <v>0</v>
      </c>
      <c r="N73" s="26">
        <f>$I$31*$N$31</f>
        <v>0</v>
      </c>
      <c r="O73" s="26">
        <f>$I$31*$O$31</f>
        <v>0</v>
      </c>
      <c r="P73" s="26">
        <f>$I$31*$P$31</f>
        <v>0</v>
      </c>
      <c r="Q73" s="26">
        <f>$I$31*$Q$31</f>
        <v>0</v>
      </c>
      <c r="R73" s="26">
        <f>$I$31*$R$31</f>
        <v>0</v>
      </c>
      <c r="S73" s="26">
        <f>$I$31*$S$31</f>
        <v>0</v>
      </c>
      <c r="T73" s="26">
        <f>$I$31*$T$31</f>
        <v>0</v>
      </c>
      <c r="U73" s="26">
        <f>$I$31*$U$31</f>
        <v>0</v>
      </c>
      <c r="V73" s="26">
        <f>$I$31*$V$31</f>
        <v>0</v>
      </c>
      <c r="X73" s="26">
        <f>$I$31*$X$31</f>
        <v>0</v>
      </c>
      <c r="Y73" s="26">
        <f>$I$31*$Y$31</f>
        <v>0</v>
      </c>
      <c r="Z73" s="26">
        <f>$I$31*$Z$31</f>
        <v>0</v>
      </c>
      <c r="AA73" s="26">
        <f>$I$31*$AA$31</f>
        <v>0</v>
      </c>
      <c r="AB73" s="26">
        <f>$I$31*$AB$31</f>
        <v>0</v>
      </c>
      <c r="AC73" s="26">
        <f>$I$31*$AC$31</f>
        <v>0</v>
      </c>
      <c r="AD73" s="26">
        <f>$I$31*$AD$31</f>
        <v>0</v>
      </c>
      <c r="AE73" s="26">
        <f>$I$31*$AE$31</f>
        <v>0</v>
      </c>
      <c r="AF73" s="26">
        <f>$I$31*$AF$31</f>
        <v>0</v>
      </c>
      <c r="AG73" s="26">
        <f>$I$31*$AG$31</f>
        <v>0</v>
      </c>
      <c r="AH73" s="26">
        <f>$I$31*$AH$31</f>
        <v>0</v>
      </c>
    </row>
    <row r="74" spans="1:34" ht="11.25" customHeight="1" x14ac:dyDescent="0.25">
      <c r="A74" s="9" t="s">
        <v>43</v>
      </c>
      <c r="B74" s="9" t="s">
        <v>1013</v>
      </c>
      <c r="C74" s="9" t="s">
        <v>1014</v>
      </c>
      <c r="D74" s="9" t="s">
        <v>1015</v>
      </c>
      <c r="E74" s="9" t="s">
        <v>1016</v>
      </c>
      <c r="F74" s="9" t="s">
        <v>1017</v>
      </c>
      <c r="G74" s="9" t="s">
        <v>1018</v>
      </c>
      <c r="L74" s="26">
        <f>$I$32*$L$32</f>
        <v>0</v>
      </c>
      <c r="M74" s="26">
        <f>$I$32*$M$32</f>
        <v>0</v>
      </c>
      <c r="N74" s="26">
        <f>$I$32*$N$32</f>
        <v>0</v>
      </c>
      <c r="O74" s="26">
        <f>$I$32*$O$32</f>
        <v>0</v>
      </c>
      <c r="P74" s="26">
        <f>$I$32*$P$32</f>
        <v>0</v>
      </c>
      <c r="Q74" s="26">
        <f>$I$32*$Q$32</f>
        <v>0</v>
      </c>
      <c r="R74" s="26">
        <f>$I$32*$R$32</f>
        <v>0</v>
      </c>
      <c r="S74" s="26">
        <f>$I$32*$S$32</f>
        <v>0</v>
      </c>
      <c r="T74" s="26">
        <f>$I$32*$T$32</f>
        <v>0</v>
      </c>
      <c r="U74" s="26">
        <f>$I$32*$U$32</f>
        <v>0</v>
      </c>
      <c r="V74" s="26">
        <f>$I$32*$V$32</f>
        <v>0</v>
      </c>
      <c r="X74" s="26">
        <f>$I$32*$X$32</f>
        <v>0</v>
      </c>
      <c r="Y74" s="26">
        <f>$I$32*$Y$32</f>
        <v>0</v>
      </c>
      <c r="Z74" s="26">
        <f>$I$32*$Z$32</f>
        <v>0</v>
      </c>
      <c r="AA74" s="26">
        <f>$I$32*$AA$32</f>
        <v>0</v>
      </c>
      <c r="AB74" s="26">
        <f>$I$32*$AB$32</f>
        <v>0</v>
      </c>
      <c r="AC74" s="26">
        <f>$I$32*$AC$32</f>
        <v>0</v>
      </c>
      <c r="AD74" s="26">
        <f>$I$32*$AD$32</f>
        <v>0</v>
      </c>
      <c r="AE74" s="26">
        <f>$I$32*$AE$32</f>
        <v>0</v>
      </c>
      <c r="AF74" s="26">
        <f>$I$32*$AF$32</f>
        <v>0</v>
      </c>
      <c r="AG74" s="26">
        <f>$I$32*$AG$32</f>
        <v>0</v>
      </c>
      <c r="AH74" s="26">
        <f>$I$32*$AH$32</f>
        <v>0</v>
      </c>
    </row>
    <row r="75" spans="1:34" ht="11.25" customHeight="1" x14ac:dyDescent="0.25">
      <c r="A75" s="9" t="s">
        <v>43</v>
      </c>
      <c r="B75" s="9" t="s">
        <v>1013</v>
      </c>
      <c r="C75" s="9" t="s">
        <v>1014</v>
      </c>
      <c r="D75" s="9" t="s">
        <v>1019</v>
      </c>
      <c r="E75" s="9" t="s">
        <v>1020</v>
      </c>
      <c r="F75" s="9" t="s">
        <v>1021</v>
      </c>
      <c r="G75" s="9" t="s">
        <v>1022</v>
      </c>
      <c r="L75" s="26">
        <f>$I$33*$L$33</f>
        <v>0</v>
      </c>
      <c r="M75" s="26">
        <f>$I$33*$M$33</f>
        <v>0</v>
      </c>
      <c r="N75" s="26">
        <f>$I$33*$N$33</f>
        <v>0</v>
      </c>
      <c r="O75" s="26">
        <f>$I$33*$O$33</f>
        <v>0</v>
      </c>
      <c r="P75" s="26">
        <f>$I$33*$P$33</f>
        <v>0</v>
      </c>
      <c r="Q75" s="26">
        <f>$I$33*$Q$33</f>
        <v>0</v>
      </c>
      <c r="R75" s="26">
        <f>$I$33*$R$33</f>
        <v>0</v>
      </c>
      <c r="S75" s="26">
        <f>$I$33*$S$33</f>
        <v>0</v>
      </c>
      <c r="T75" s="26">
        <f>$I$33*$T$33</f>
        <v>0</v>
      </c>
      <c r="U75" s="26">
        <f>$I$33*$U$33</f>
        <v>0</v>
      </c>
      <c r="V75" s="26">
        <f>$I$33*$V$33</f>
        <v>0</v>
      </c>
      <c r="X75" s="26">
        <f>$I$33*$X$33</f>
        <v>0</v>
      </c>
      <c r="Y75" s="26">
        <f>$I$33*$Y$33</f>
        <v>0</v>
      </c>
      <c r="Z75" s="26">
        <f>$I$33*$Z$33</f>
        <v>0</v>
      </c>
      <c r="AA75" s="26">
        <f>$I$33*$AA$33</f>
        <v>0</v>
      </c>
      <c r="AB75" s="26">
        <f>$I$33*$AB$33</f>
        <v>0</v>
      </c>
      <c r="AC75" s="26">
        <f>$I$33*$AC$33</f>
        <v>0</v>
      </c>
      <c r="AD75" s="26">
        <f>$I$33*$AD$33</f>
        <v>0</v>
      </c>
      <c r="AE75" s="26">
        <f>$I$33*$AE$33</f>
        <v>0</v>
      </c>
      <c r="AF75" s="26">
        <f>$I$33*$AF$33</f>
        <v>0</v>
      </c>
      <c r="AG75" s="26">
        <f>$I$33*$AG$33</f>
        <v>0</v>
      </c>
      <c r="AH75" s="26">
        <f>$I$33*$AH$33</f>
        <v>0</v>
      </c>
    </row>
    <row r="76" spans="1:34" ht="11.25" customHeight="1" x14ac:dyDescent="0.25">
      <c r="A76" s="9" t="s">
        <v>43</v>
      </c>
      <c r="B76" s="9" t="s">
        <v>1013</v>
      </c>
      <c r="C76" s="9" t="s">
        <v>1014</v>
      </c>
      <c r="D76" s="9" t="s">
        <v>1023</v>
      </c>
      <c r="E76" s="9" t="s">
        <v>1024</v>
      </c>
      <c r="F76" s="9" t="s">
        <v>1025</v>
      </c>
      <c r="G76" s="9" t="s">
        <v>1026</v>
      </c>
      <c r="L76" s="26">
        <f>$I$34*$L$34</f>
        <v>0</v>
      </c>
      <c r="M76" s="26">
        <f>$I$34*$M$34</f>
        <v>0</v>
      </c>
      <c r="N76" s="26">
        <f>$I$34*$N$34</f>
        <v>0</v>
      </c>
      <c r="O76" s="26">
        <f>$I$34*$O$34</f>
        <v>0</v>
      </c>
      <c r="P76" s="26">
        <f>$I$34*$P$34</f>
        <v>0</v>
      </c>
      <c r="Q76" s="26">
        <f>$I$34*$Q$34</f>
        <v>0</v>
      </c>
      <c r="R76" s="26">
        <f>$I$34*$R$34</f>
        <v>0</v>
      </c>
      <c r="S76" s="26">
        <f>$I$34*$S$34</f>
        <v>0</v>
      </c>
      <c r="T76" s="26">
        <f>$I$34*$T$34</f>
        <v>0</v>
      </c>
      <c r="U76" s="26">
        <f>$I$34*$U$34</f>
        <v>0</v>
      </c>
      <c r="V76" s="26">
        <f>$I$34*$V$34</f>
        <v>0</v>
      </c>
      <c r="X76" s="26">
        <f>$I$34*$X$34</f>
        <v>0</v>
      </c>
      <c r="Y76" s="26">
        <f>$I$34*$Y$34</f>
        <v>0</v>
      </c>
      <c r="Z76" s="26">
        <f>$I$34*$Z$34</f>
        <v>0</v>
      </c>
      <c r="AA76" s="26">
        <f>$I$34*$AA$34</f>
        <v>0</v>
      </c>
      <c r="AB76" s="26">
        <f>$I$34*$AB$34</f>
        <v>0</v>
      </c>
      <c r="AC76" s="26">
        <f>$I$34*$AC$34</f>
        <v>0</v>
      </c>
      <c r="AD76" s="26">
        <f>$I$34*$AD$34</f>
        <v>0</v>
      </c>
      <c r="AE76" s="26">
        <f>$I$34*$AE$34</f>
        <v>0</v>
      </c>
      <c r="AF76" s="26">
        <f>$I$34*$AF$34</f>
        <v>0</v>
      </c>
      <c r="AG76" s="26">
        <f>$I$34*$AG$34</f>
        <v>0</v>
      </c>
      <c r="AH76" s="26">
        <f>$I$34*$AH$34</f>
        <v>0</v>
      </c>
    </row>
    <row r="77" spans="1:34" ht="11.25" customHeight="1" x14ac:dyDescent="0.25">
      <c r="A77" s="9" t="s">
        <v>33</v>
      </c>
      <c r="B77" s="9" t="s">
        <v>1027</v>
      </c>
      <c r="C77" s="9" t="s">
        <v>1028</v>
      </c>
      <c r="D77" s="9" t="s">
        <v>1029</v>
      </c>
      <c r="E77" s="9" t="s">
        <v>1030</v>
      </c>
      <c r="F77" s="9" t="s">
        <v>1031</v>
      </c>
      <c r="G77" s="9" t="s">
        <v>1032</v>
      </c>
      <c r="L77" s="26">
        <f>$I$35*$L$35</f>
        <v>0</v>
      </c>
      <c r="M77" s="26">
        <f>$I$35*$M$35</f>
        <v>0</v>
      </c>
      <c r="N77" s="26">
        <f>$I$35*$N$35</f>
        <v>0</v>
      </c>
      <c r="O77" s="26">
        <f>$I$35*$O$35</f>
        <v>0</v>
      </c>
      <c r="P77" s="26">
        <f>$I$35*$P$35</f>
        <v>0</v>
      </c>
      <c r="Q77" s="26">
        <f>$I$35*$Q$35</f>
        <v>145.36650716361058</v>
      </c>
      <c r="R77" s="26">
        <f>$I$35*$R$35</f>
        <v>0</v>
      </c>
      <c r="S77" s="26">
        <f>$I$35*$S$35</f>
        <v>0</v>
      </c>
      <c r="T77" s="26">
        <f>$I$35*$T$35</f>
        <v>0</v>
      </c>
      <c r="U77" s="26">
        <f>$I$35*$U$35</f>
        <v>0</v>
      </c>
      <c r="V77" s="26">
        <f>$I$35*$V$35</f>
        <v>0</v>
      </c>
      <c r="X77" s="26">
        <f>$I$35*$X$35</f>
        <v>0</v>
      </c>
      <c r="Y77" s="26">
        <f>$I$35*$Y$35</f>
        <v>0</v>
      </c>
      <c r="Z77" s="26">
        <f>$I$35*$Z$35</f>
        <v>0</v>
      </c>
      <c r="AA77" s="26">
        <f>$I$35*$AA$35</f>
        <v>0</v>
      </c>
      <c r="AB77" s="26">
        <f>$I$35*$AB$35</f>
        <v>0</v>
      </c>
      <c r="AC77" s="26">
        <f>$I$35*$AC$35</f>
        <v>159.87835945467086</v>
      </c>
      <c r="AD77" s="26">
        <f>$I$35*$AD$35</f>
        <v>0</v>
      </c>
      <c r="AE77" s="26">
        <f>$I$35*$AE$35</f>
        <v>0</v>
      </c>
      <c r="AF77" s="26">
        <f>$I$35*$AF$35</f>
        <v>0</v>
      </c>
      <c r="AG77" s="26">
        <f>$I$35*$AG$35</f>
        <v>0</v>
      </c>
      <c r="AH77" s="26">
        <f>$I$35*$AH$35</f>
        <v>0</v>
      </c>
    </row>
    <row r="78" spans="1:34" ht="11.25" customHeight="1" x14ac:dyDescent="0.25">
      <c r="A78" s="9" t="s">
        <v>33</v>
      </c>
      <c r="B78" s="9" t="s">
        <v>1027</v>
      </c>
      <c r="C78" s="9" t="s">
        <v>1028</v>
      </c>
      <c r="D78" s="9" t="s">
        <v>1029</v>
      </c>
      <c r="E78" s="9" t="s">
        <v>1030</v>
      </c>
      <c r="F78" s="9" t="s">
        <v>1031</v>
      </c>
      <c r="G78" s="9" t="s">
        <v>1033</v>
      </c>
      <c r="L78" s="26">
        <f>$I$36*$L$36</f>
        <v>0</v>
      </c>
      <c r="M78" s="26">
        <f>$I$36*$M$36</f>
        <v>0</v>
      </c>
      <c r="N78" s="26">
        <f>$I$36*$N$36</f>
        <v>0</v>
      </c>
      <c r="O78" s="26">
        <f>$I$36*$O$36</f>
        <v>0</v>
      </c>
      <c r="P78" s="26">
        <f>$I$36*$P$36</f>
        <v>0</v>
      </c>
      <c r="Q78" s="26">
        <f>$I$36*$Q$36</f>
        <v>227.88659205723923</v>
      </c>
      <c r="R78" s="26">
        <f>$I$36*$R$36</f>
        <v>0</v>
      </c>
      <c r="S78" s="26">
        <f>$I$36*$S$36</f>
        <v>0</v>
      </c>
      <c r="T78" s="26">
        <f>$I$36*$T$36</f>
        <v>0</v>
      </c>
      <c r="U78" s="26">
        <f>$I$36*$U$36</f>
        <v>0</v>
      </c>
      <c r="V78" s="26">
        <f>$I$36*$V$36</f>
        <v>0</v>
      </c>
      <c r="X78" s="26">
        <f>$I$36*$X$36</f>
        <v>0</v>
      </c>
      <c r="Y78" s="26">
        <f>$I$36*$Y$36</f>
        <v>0</v>
      </c>
      <c r="Z78" s="26">
        <f>$I$36*$Z$36</f>
        <v>0</v>
      </c>
      <c r="AA78" s="26">
        <f>$I$36*$AA$36</f>
        <v>0</v>
      </c>
      <c r="AB78" s="26">
        <f>$I$36*$AB$36</f>
        <v>0</v>
      </c>
      <c r="AC78" s="26">
        <f>$I$36*$AC$36</f>
        <v>250.63637553608189</v>
      </c>
      <c r="AD78" s="26">
        <f>$I$36*$AD$36</f>
        <v>0</v>
      </c>
      <c r="AE78" s="26">
        <f>$I$36*$AE$36</f>
        <v>0</v>
      </c>
      <c r="AF78" s="26">
        <f>$I$36*$AF$36</f>
        <v>0</v>
      </c>
      <c r="AG78" s="26">
        <f>$I$36*$AG$36</f>
        <v>0</v>
      </c>
      <c r="AH78" s="26">
        <f>$I$36*$AH$36</f>
        <v>0</v>
      </c>
    </row>
    <row r="79" spans="1:34" ht="11.25" customHeight="1" x14ac:dyDescent="0.25">
      <c r="A79" s="9" t="s">
        <v>33</v>
      </c>
      <c r="B79" s="9" t="s">
        <v>1027</v>
      </c>
      <c r="C79" s="9" t="s">
        <v>1028</v>
      </c>
      <c r="D79" s="9" t="s">
        <v>1029</v>
      </c>
      <c r="E79" s="9" t="s">
        <v>1030</v>
      </c>
      <c r="F79" s="9" t="s">
        <v>1031</v>
      </c>
      <c r="G79" s="9" t="s">
        <v>1034</v>
      </c>
      <c r="L79" s="26">
        <f>$I$37*$L$37</f>
        <v>0</v>
      </c>
      <c r="M79" s="26">
        <f>$I$37*$M$37</f>
        <v>0</v>
      </c>
      <c r="N79" s="26">
        <f>$I$37*$N$37</f>
        <v>0</v>
      </c>
      <c r="O79" s="26">
        <f>$I$37*$O$37</f>
        <v>0</v>
      </c>
      <c r="P79" s="26">
        <f>$I$37*$P$37</f>
        <v>0</v>
      </c>
      <c r="Q79" s="26">
        <f>$I$37*$Q$37</f>
        <v>10014.987256692963</v>
      </c>
      <c r="R79" s="26">
        <f>$I$37*$R$37</f>
        <v>0</v>
      </c>
      <c r="S79" s="26">
        <f>$I$37*$S$37</f>
        <v>0</v>
      </c>
      <c r="T79" s="26">
        <f>$I$37*$T$37</f>
        <v>0</v>
      </c>
      <c r="U79" s="26">
        <f>$I$37*$U$37</f>
        <v>0</v>
      </c>
      <c r="V79" s="26">
        <f>$I$37*$V$37</f>
        <v>0</v>
      </c>
      <c r="X79" s="26">
        <f>$I$37*$X$37</f>
        <v>0</v>
      </c>
      <c r="Y79" s="26">
        <f>$I$37*$Y$37</f>
        <v>0</v>
      </c>
      <c r="Z79" s="26">
        <f>$I$37*$Z$37</f>
        <v>0</v>
      </c>
      <c r="AA79" s="26">
        <f>$I$37*$AA$37</f>
        <v>0</v>
      </c>
      <c r="AB79" s="26">
        <f>$I$37*$AB$37</f>
        <v>0</v>
      </c>
      <c r="AC79" s="26">
        <f>$I$37*$AC$37</f>
        <v>11014.777501377064</v>
      </c>
      <c r="AD79" s="26">
        <f>$I$37*$AD$37</f>
        <v>0</v>
      </c>
      <c r="AE79" s="26">
        <f>$I$37*$AE$37</f>
        <v>0</v>
      </c>
      <c r="AF79" s="26">
        <f>$I$37*$AF$37</f>
        <v>0</v>
      </c>
      <c r="AG79" s="26">
        <f>$I$37*$AG$37</f>
        <v>0</v>
      </c>
      <c r="AH79" s="26">
        <f>$I$37*$AH$37</f>
        <v>0</v>
      </c>
    </row>
    <row r="80" spans="1:34" ht="11.25" customHeight="1" x14ac:dyDescent="0.25">
      <c r="A80" s="9" t="s">
        <v>33</v>
      </c>
      <c r="B80" s="9" t="s">
        <v>1035</v>
      </c>
      <c r="C80" s="9" t="s">
        <v>1036</v>
      </c>
      <c r="D80" s="9" t="s">
        <v>1037</v>
      </c>
      <c r="E80" s="9" t="s">
        <v>1038</v>
      </c>
      <c r="F80" s="9" t="s">
        <v>1039</v>
      </c>
      <c r="G80" s="9" t="s">
        <v>1040</v>
      </c>
      <c r="L80" s="26">
        <f>$I$38*$L$38</f>
        <v>0</v>
      </c>
      <c r="M80" s="26">
        <f>$I$38*$M$38</f>
        <v>0</v>
      </c>
      <c r="N80" s="26">
        <f>$I$38*$N$38</f>
        <v>0</v>
      </c>
      <c r="O80" s="26">
        <f>$I$38*$O$38</f>
        <v>0</v>
      </c>
      <c r="P80" s="26">
        <f>$I$38*$P$38</f>
        <v>0</v>
      </c>
      <c r="Q80" s="26">
        <f>$I$38*$Q$38</f>
        <v>1993590.0250380619</v>
      </c>
      <c r="R80" s="26">
        <f>$I$38*$R$38</f>
        <v>0</v>
      </c>
      <c r="S80" s="26">
        <f>$I$38*$S$38</f>
        <v>0</v>
      </c>
      <c r="T80" s="26">
        <f>$I$38*$T$38</f>
        <v>0</v>
      </c>
      <c r="U80" s="26">
        <f>$I$38*$U$38</f>
        <v>0</v>
      </c>
      <c r="V80" s="26">
        <f>$I$38*$V$38</f>
        <v>0</v>
      </c>
      <c r="X80" s="26">
        <f>$I$38*$X$38</f>
        <v>0</v>
      </c>
      <c r="Y80" s="26">
        <f>$I$38*$Y$38</f>
        <v>0</v>
      </c>
      <c r="Z80" s="26">
        <f>$I$38*$Z$38</f>
        <v>0</v>
      </c>
      <c r="AA80" s="26">
        <f>$I$38*$AA$38</f>
        <v>0</v>
      </c>
      <c r="AB80" s="26">
        <f>$I$38*$AB$38</f>
        <v>0</v>
      </c>
      <c r="AC80" s="26">
        <f>$I$38*$AC$38</f>
        <v>2192608.9361805161</v>
      </c>
      <c r="AD80" s="26">
        <f>$I$38*$AD$38</f>
        <v>0</v>
      </c>
      <c r="AE80" s="26">
        <f>$I$38*$AE$38</f>
        <v>0</v>
      </c>
      <c r="AF80" s="26">
        <f>$I$38*$AF$38</f>
        <v>0</v>
      </c>
      <c r="AG80" s="26">
        <f>$I$38*$AG$38</f>
        <v>0</v>
      </c>
      <c r="AH80" s="26">
        <f>$I$38*$AH$38</f>
        <v>0</v>
      </c>
    </row>
    <row r="81" spans="1:34" ht="11.25" customHeight="1" x14ac:dyDescent="0.25">
      <c r="A81" s="9" t="s">
        <v>33</v>
      </c>
      <c r="B81" s="9" t="s">
        <v>1041</v>
      </c>
      <c r="C81" s="9" t="s">
        <v>1042</v>
      </c>
      <c r="D81" s="9" t="s">
        <v>1043</v>
      </c>
      <c r="E81" s="9" t="s">
        <v>1044</v>
      </c>
      <c r="F81" s="9" t="s">
        <v>1045</v>
      </c>
      <c r="G81" s="9" t="s">
        <v>1046</v>
      </c>
      <c r="L81" s="26">
        <f>$I$39*$L$39</f>
        <v>0</v>
      </c>
      <c r="M81" s="26">
        <f>$I$39*$M$39</f>
        <v>0</v>
      </c>
      <c r="N81" s="26">
        <f>$I$39*$N$39</f>
        <v>0</v>
      </c>
      <c r="O81" s="26">
        <f>$I$39*$O$39</f>
        <v>0</v>
      </c>
      <c r="P81" s="26">
        <f>$I$39*$P$39</f>
        <v>0</v>
      </c>
      <c r="Q81" s="26">
        <f>$I$39*$Q$39</f>
        <v>0</v>
      </c>
      <c r="R81" s="26">
        <f>$I$39*$R$39</f>
        <v>0</v>
      </c>
      <c r="S81" s="26">
        <f>$I$39*$S$39</f>
        <v>0</v>
      </c>
      <c r="T81" s="26">
        <f>$I$39*$T$39</f>
        <v>0</v>
      </c>
      <c r="U81" s="26">
        <f>$I$39*$U$39</f>
        <v>0</v>
      </c>
      <c r="V81" s="26">
        <f>$I$39*$V$39</f>
        <v>0</v>
      </c>
      <c r="X81" s="26">
        <f>$I$39*$X$39</f>
        <v>0</v>
      </c>
      <c r="Y81" s="26">
        <f>$I$39*$Y$39</f>
        <v>0</v>
      </c>
      <c r="Z81" s="26">
        <f>$I$39*$Z$39</f>
        <v>0</v>
      </c>
      <c r="AA81" s="26">
        <f>$I$39*$AA$39</f>
        <v>0</v>
      </c>
      <c r="AB81" s="26">
        <f>$I$39*$AB$39</f>
        <v>0</v>
      </c>
      <c r="AC81" s="26">
        <f>$I$39*$AC$39</f>
        <v>0</v>
      </c>
      <c r="AD81" s="26">
        <f>$I$39*$AD$39</f>
        <v>0</v>
      </c>
      <c r="AE81" s="26">
        <f>$I$39*$AE$39</f>
        <v>0</v>
      </c>
      <c r="AF81" s="26">
        <f>$I$39*$AF$39</f>
        <v>0</v>
      </c>
      <c r="AG81" s="26">
        <f>$I$39*$AG$39</f>
        <v>0</v>
      </c>
      <c r="AH81" s="26">
        <f>$I$39*$AH$39</f>
        <v>0</v>
      </c>
    </row>
    <row r="82" spans="1:34" ht="11.25" customHeight="1" x14ac:dyDescent="0.25">
      <c r="A82" s="9" t="s">
        <v>46</v>
      </c>
      <c r="B82" s="9" t="s">
        <v>1047</v>
      </c>
      <c r="C82" s="9" t="s">
        <v>1048</v>
      </c>
      <c r="D82" s="9" t="s">
        <v>1049</v>
      </c>
      <c r="E82" s="9" t="s">
        <v>1050</v>
      </c>
      <c r="F82" s="9" t="s">
        <v>1051</v>
      </c>
      <c r="G82" s="9" t="s">
        <v>1052</v>
      </c>
      <c r="L82" s="26">
        <f>$I$40*$L$40</f>
        <v>0</v>
      </c>
      <c r="M82" s="26">
        <f>$I$40*$M$40</f>
        <v>0</v>
      </c>
      <c r="N82" s="26">
        <f>$I$40*$N$40</f>
        <v>0</v>
      </c>
      <c r="O82" s="26">
        <f>$I$40*$O$40</f>
        <v>0</v>
      </c>
      <c r="P82" s="26">
        <f>$I$40*$P$40</f>
        <v>0</v>
      </c>
      <c r="Q82" s="26">
        <f>$I$40*$Q$40</f>
        <v>386011.4830945502</v>
      </c>
      <c r="R82" s="26">
        <f>$I$40*$R$40</f>
        <v>0</v>
      </c>
      <c r="S82" s="26">
        <f>$I$40*$S$40</f>
        <v>0</v>
      </c>
      <c r="T82" s="26">
        <f>$I$40*$T$40</f>
        <v>0</v>
      </c>
      <c r="U82" s="26">
        <f>$I$40*$U$40</f>
        <v>0</v>
      </c>
      <c r="V82" s="26">
        <f>$I$40*$V$40</f>
        <v>0</v>
      </c>
      <c r="X82" s="26">
        <f>$I$40*$X$40</f>
        <v>0</v>
      </c>
      <c r="Y82" s="26">
        <f>$I$40*$Y$40</f>
        <v>0</v>
      </c>
      <c r="Z82" s="26">
        <f>$I$40*$Z$40</f>
        <v>0</v>
      </c>
      <c r="AA82" s="26">
        <f>$I$40*$AA$40</f>
        <v>0</v>
      </c>
      <c r="AB82" s="26">
        <f>$I$40*$AB$40</f>
        <v>0</v>
      </c>
      <c r="AC82" s="26">
        <f>$I$40*$AC$40</f>
        <v>424546.78076814907</v>
      </c>
      <c r="AD82" s="26">
        <f>$I$40*$AD$40</f>
        <v>0</v>
      </c>
      <c r="AE82" s="26">
        <f>$I$40*$AE$40</f>
        <v>0</v>
      </c>
      <c r="AF82" s="26">
        <f>$I$40*$AF$40</f>
        <v>0</v>
      </c>
      <c r="AG82" s="26">
        <f>$I$40*$AG$40</f>
        <v>0</v>
      </c>
      <c r="AH82" s="26">
        <f>$I$40*$AH$40</f>
        <v>0</v>
      </c>
    </row>
    <row r="83" spans="1:34" ht="11.25" customHeight="1" x14ac:dyDescent="0.25">
      <c r="A83" s="9" t="s">
        <v>46</v>
      </c>
      <c r="B83" s="9" t="s">
        <v>1047</v>
      </c>
      <c r="C83" s="9" t="s">
        <v>1048</v>
      </c>
      <c r="D83" s="9" t="s">
        <v>1053</v>
      </c>
      <c r="E83" s="9" t="s">
        <v>1054</v>
      </c>
      <c r="F83" s="9" t="s">
        <v>1055</v>
      </c>
      <c r="G83" s="9" t="s">
        <v>1056</v>
      </c>
      <c r="L83" s="26">
        <f>$I$41*$L$41</f>
        <v>0</v>
      </c>
      <c r="M83" s="26">
        <f>$I$41*$M$41</f>
        <v>0</v>
      </c>
      <c r="N83" s="26">
        <f>$I$41*$N$41</f>
        <v>0</v>
      </c>
      <c r="O83" s="26">
        <f>$I$41*$O$41</f>
        <v>0</v>
      </c>
      <c r="P83" s="26">
        <f>$I$41*$P$41</f>
        <v>0</v>
      </c>
      <c r="Q83" s="26">
        <f>$I$41*$Q$41</f>
        <v>0</v>
      </c>
      <c r="R83" s="26">
        <f>$I$41*$R$41</f>
        <v>0</v>
      </c>
      <c r="S83" s="26">
        <f>$I$41*$S$41</f>
        <v>0</v>
      </c>
      <c r="T83" s="26">
        <f>$I$41*$T$41</f>
        <v>0</v>
      </c>
      <c r="U83" s="26">
        <f>$I$41*$U$41</f>
        <v>0</v>
      </c>
      <c r="V83" s="26">
        <f>$I$41*$V$41</f>
        <v>0</v>
      </c>
      <c r="X83" s="26">
        <f>$I$41*$X$41</f>
        <v>0</v>
      </c>
      <c r="Y83" s="26">
        <f>$I$41*$Y$41</f>
        <v>0</v>
      </c>
      <c r="Z83" s="26">
        <f>$I$41*$Z$41</f>
        <v>0</v>
      </c>
      <c r="AA83" s="26">
        <f>$I$41*$AA$41</f>
        <v>0</v>
      </c>
      <c r="AB83" s="26">
        <f>$I$41*$AB$41</f>
        <v>0</v>
      </c>
      <c r="AC83" s="26">
        <f>$I$41*$AC$41</f>
        <v>0</v>
      </c>
      <c r="AD83" s="26">
        <f>$I$41*$AD$41</f>
        <v>0</v>
      </c>
      <c r="AE83" s="26">
        <f>$I$41*$AE$41</f>
        <v>0</v>
      </c>
      <c r="AF83" s="26">
        <f>$I$41*$AF$41</f>
        <v>0</v>
      </c>
      <c r="AG83" s="26">
        <f>$I$41*$AG$41</f>
        <v>0</v>
      </c>
      <c r="AH83" s="26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8FD-6BE1-46EE-BA09-6DC68E34FA32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6" width="10.28515625" style="14" bestFit="1" customWidth="1"/>
    <col min="7" max="7" width="10.8554687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1064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81</v>
      </c>
      <c r="AB2" s="14" t="s">
        <v>36</v>
      </c>
      <c r="AC2" s="14" t="s">
        <v>24</v>
      </c>
      <c r="AD2" s="14" t="s">
        <v>24</v>
      </c>
      <c r="AE2" s="14" t="s">
        <v>79</v>
      </c>
      <c r="AG2" s="14" t="s">
        <v>76</v>
      </c>
    </row>
    <row r="3" spans="1:33" x14ac:dyDescent="0.2">
      <c r="AA3" s="14" t="s">
        <v>22</v>
      </c>
      <c r="AB3" s="14" t="s">
        <v>80</v>
      </c>
      <c r="AC3" s="14" t="s">
        <v>44</v>
      </c>
      <c r="AD3" s="14" t="s">
        <v>29</v>
      </c>
      <c r="AE3" s="14" t="s">
        <v>82</v>
      </c>
      <c r="AG3" s="14" t="s">
        <v>77</v>
      </c>
    </row>
    <row r="4" spans="1:33" x14ac:dyDescent="0.2">
      <c r="AA4" s="14" t="s">
        <v>43</v>
      </c>
      <c r="AB4" s="14" t="s">
        <v>39</v>
      </c>
      <c r="AC4" s="14" t="s">
        <v>47</v>
      </c>
      <c r="AD4" s="14" t="s">
        <v>30</v>
      </c>
      <c r="AE4" s="14" t="s">
        <v>83</v>
      </c>
      <c r="AG4" s="14" t="s">
        <v>78</v>
      </c>
    </row>
    <row r="5" spans="1:33" x14ac:dyDescent="0.2">
      <c r="A5" s="14" t="s">
        <v>1057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484</v>
      </c>
      <c r="AA5" s="14" t="s">
        <v>33</v>
      </c>
      <c r="AB5" s="14" t="s">
        <v>41</v>
      </c>
      <c r="AD5" s="14" t="s">
        <v>31</v>
      </c>
      <c r="AG5" s="14" t="s">
        <v>9</v>
      </c>
    </row>
    <row r="6" spans="1:33" x14ac:dyDescent="0.2">
      <c r="A6" s="14" t="s">
        <v>1058</v>
      </c>
      <c r="B6" s="45">
        <f>SUM(TUSD!$AI$57:'TUSD'!$AI$103)</f>
        <v>0</v>
      </c>
      <c r="C6" s="45">
        <f>SUM(TUSD!$AJ$57:'TUSD'!$AJ$103)</f>
        <v>105404.66706163604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6709960.3303651242</v>
      </c>
      <c r="H6" s="45">
        <f>SUM(TUSD!$AO$57:'TUSD'!$AO$103)</f>
        <v>1160039.5252318582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10954623.014441088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25988444.486439075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1452047.9699549139</v>
      </c>
      <c r="U6" s="45">
        <f>SUM(TUSD!$BB$57:'TUSD'!$BB$103)</f>
        <v>0</v>
      </c>
      <c r="V6" s="45">
        <f>SUM(TUSD!$BC$57:'TUSD'!$BC$103)</f>
        <v>0</v>
      </c>
      <c r="W6" s="45">
        <f>SUM(TUSD!$BD$57:'TUSD'!$BD$103)</f>
        <v>0</v>
      </c>
      <c r="X6" s="45">
        <f t="shared" ref="X6:X11" si="0">SUM(B6:W6)</f>
        <v>46370519.993493699</v>
      </c>
      <c r="AA6" s="14" t="s">
        <v>46</v>
      </c>
      <c r="AB6" s="14" t="s">
        <v>23</v>
      </c>
      <c r="AD6" s="14" t="s">
        <v>32</v>
      </c>
      <c r="AG6" s="14" t="s">
        <v>73</v>
      </c>
    </row>
    <row r="7" spans="1:33" x14ac:dyDescent="0.2">
      <c r="A7" s="14" t="s">
        <v>1059</v>
      </c>
      <c r="B7" s="45">
        <f>SUM(TUSD!$L$57:'TUSD'!$L$103)</f>
        <v>0</v>
      </c>
      <c r="C7" s="45">
        <f>SUM(TUSD!$M$57:'TUSD'!$M$103)</f>
        <v>129215.09527958921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11169297.12828806</v>
      </c>
      <c r="H7" s="45">
        <f>SUM(TUSD!$R$57:'TUSD'!$R$103)</f>
        <v>1964005.5056141873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11900296.668876007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28711814.487771623</v>
      </c>
      <c r="R7" s="45">
        <f ca="1">SUM(TUSD!$AB$57:'TUSD'!$AB$103)</f>
        <v>0</v>
      </c>
      <c r="S7" s="45">
        <f ca="1">SUM(TUSD!$AC$57:'TUSD'!$AC$103)</f>
        <v>0</v>
      </c>
      <c r="T7" s="45">
        <f>SUM(TUSD!$AD$57:'TUSD'!$AD$103)</f>
        <v>1163386.2110864536</v>
      </c>
      <c r="U7" s="45">
        <f>SUM(TUSD!$AE$57:'TUSD'!$AE$103)</f>
        <v>0</v>
      </c>
      <c r="V7" s="45">
        <f ca="1">SUM(TUSD!$AF$57:'TUSD'!$AF$103)</f>
        <v>0</v>
      </c>
      <c r="W7" s="45">
        <f ca="1">SUM(TUSD!$AG$57:'TUSD'!$AG$103)</f>
        <v>0</v>
      </c>
      <c r="X7" s="45">
        <f t="shared" ca="1" si="0"/>
        <v>55038015.096915916</v>
      </c>
      <c r="AB7" s="14" t="s">
        <v>87</v>
      </c>
      <c r="AD7" s="14" t="s">
        <v>88</v>
      </c>
      <c r="AG7" s="14" t="s">
        <v>74</v>
      </c>
    </row>
    <row r="8" spans="1:33" x14ac:dyDescent="0.2">
      <c r="A8" s="14" t="s">
        <v>1062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39554.392074921023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4086472.633775705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744314.49952129938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5488382.1344710691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9678944.0473528858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586674.10712243407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20624341.81431831</v>
      </c>
      <c r="AD8" s="14" t="s">
        <v>89</v>
      </c>
      <c r="AG8" s="14" t="s">
        <v>84</v>
      </c>
    </row>
    <row r="9" spans="1:33" x14ac:dyDescent="0.2">
      <c r="A9" s="14" t="s">
        <v>1063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42689.059045336457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6698423.7310952088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1258446.0221748292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6625469.8557882821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9485704.7779097687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543384.08774411434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24654117.533757541</v>
      </c>
      <c r="AD9" s="14" t="s">
        <v>48</v>
      </c>
    </row>
    <row r="10" spans="1:33" x14ac:dyDescent="0.2">
      <c r="A10" s="14" t="s">
        <v>1060</v>
      </c>
      <c r="B10" s="45">
        <f>SUMIF(TUSD!$A$57:'TUSD'!$A$103,$A$2,TUSD!$AI$57:'TUSD'!$AI$103)</f>
        <v>0</v>
      </c>
      <c r="C10" s="45">
        <f>SUMIF(TUSD!$A$57:'TUSD'!$A$103,$A$2,TUSD!$AJ$57:'TUSD'!$AJ$103)</f>
        <v>39554.392074921023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4086472.633775705</v>
      </c>
      <c r="H10" s="45">
        <f>SUMIF(TUSD!$A$57:'TUSD'!$A$103,$A$2,TUSD!$AO$57:'TUSD'!$AO$103)</f>
        <v>744314.49952129938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5488382.1344710691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9678944.0473528858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586674.10712243407</v>
      </c>
      <c r="U10" s="45">
        <f>SUMIF(TUSD!$A$57:'TUSD'!$A$103,$A$2,TUSD!$BB$57:'TUSD'!$BB$103)</f>
        <v>0</v>
      </c>
      <c r="V10" s="45">
        <f>SUMIF(TUSD!$A$57:'TUSD'!$A$103,$A$2,TUSD!$BC$57:'TUSD'!$BC$103)</f>
        <v>0</v>
      </c>
      <c r="W10" s="45">
        <f>SUMIF(TUSD!$A$57:'TUSD'!$A$103,$A$2,TUSD!$BD$57:'TUSD'!$BD$103)</f>
        <v>0</v>
      </c>
      <c r="X10" s="45">
        <f t="shared" si="0"/>
        <v>20624341.81431831</v>
      </c>
      <c r="AD10" s="14" t="s">
        <v>90</v>
      </c>
    </row>
    <row r="11" spans="1:33" x14ac:dyDescent="0.2">
      <c r="A11" s="14" t="s">
        <v>1061</v>
      </c>
      <c r="B11" s="45">
        <f>SUMIF(TUSD!$A$57:'TUSD'!$A$103,$A$2,TUSD!$L$57:'TUSD'!$L$103)</f>
        <v>0</v>
      </c>
      <c r="C11" s="45">
        <f>SUMIF(TUSD!$A$57:'TUSD'!$A$103,$A$2,TUSD!$M$57:'TUSD'!$M$103)</f>
        <v>42689.059045336457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6698423.7310952088</v>
      </c>
      <c r="H11" s="45">
        <f>SUMIF(TUSD!$A$57:'TUSD'!$A$103,$A$2,TUSD!$R$57:'TUSD'!$R$103)</f>
        <v>1258446.0221748292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6625469.8557882821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9485704.7779097687</v>
      </c>
      <c r="R11" s="45">
        <f ca="1">SUMIF(TUSD!$A$57:'TUSD'!$A$103,$A$2,TUSD!$AB$57:'TUSD'!$AB$103)</f>
        <v>0</v>
      </c>
      <c r="S11" s="45">
        <f ca="1">SUMIF(TUSD!$A$57:'TUSD'!$A$103,$A$2,TUSD!$AC$57:'TUSD'!$AC$103)</f>
        <v>0</v>
      </c>
      <c r="T11" s="45">
        <f>SUMIF(TUSD!$A$57:'TUSD'!$A$103,$A$2,TUSD!$AD$57:'TUSD'!$AD$103)</f>
        <v>543384.08774411434</v>
      </c>
      <c r="U11" s="45">
        <f>SUMIF(TUSD!$A$57:'TUSD'!$A$103,$A$2,TUSD!$AE$57:'TUSD'!$AE$103)</f>
        <v>0</v>
      </c>
      <c r="V11" s="45">
        <f ca="1">SUMIF(TUSD!$A$57:'TUSD'!$A$103,$A$2,TUSD!$AF$57:'TUSD'!$AF$103)</f>
        <v>0</v>
      </c>
      <c r="W11" s="45">
        <f ca="1">SUMIF(TUSD!$A$57:'TUSD'!$A$103,$A$2,TUSD!$AG$57:'TUSD'!$AG$103)</f>
        <v>0</v>
      </c>
      <c r="X11" s="45">
        <f t="shared" ca="1" si="0"/>
        <v>24654117.533757541</v>
      </c>
    </row>
    <row r="13" spans="1:33" x14ac:dyDescent="0.2">
      <c r="A13" s="14" t="s">
        <v>1065</v>
      </c>
      <c r="B13" s="64">
        <f t="shared" ref="B13:X13" si="1">IF($X$6&lt;&gt;0,(B$7-B$6)/$X$6,0)</f>
        <v>0</v>
      </c>
      <c r="C13" s="64">
        <f t="shared" si="1"/>
        <v>5.1348201877602501E-4</v>
      </c>
      <c r="D13" s="64">
        <f t="shared" ca="1" si="1"/>
        <v>0</v>
      </c>
      <c r="E13" s="64">
        <f t="shared" si="1"/>
        <v>0</v>
      </c>
      <c r="F13" s="64">
        <f t="shared" si="1"/>
        <v>0</v>
      </c>
      <c r="G13" s="64">
        <f t="shared" si="1"/>
        <v>9.6167496041636602E-2</v>
      </c>
      <c r="H13" s="64">
        <f t="shared" si="1"/>
        <v>1.7337868553018911E-2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0</v>
      </c>
      <c r="N13" s="64">
        <f t="shared" si="1"/>
        <v>2.0393854857948712E-2</v>
      </c>
      <c r="O13" s="64">
        <f t="shared" si="1"/>
        <v>0</v>
      </c>
      <c r="P13" s="64">
        <f t="shared" si="1"/>
        <v>0</v>
      </c>
      <c r="Q13" s="64">
        <f t="shared" si="1"/>
        <v>5.8730633206499877E-2</v>
      </c>
      <c r="R13" s="64">
        <f t="shared" ca="1" si="1"/>
        <v>0</v>
      </c>
      <c r="S13" s="64">
        <f t="shared" ca="1" si="1"/>
        <v>0</v>
      </c>
      <c r="T13" s="64">
        <f t="shared" si="1"/>
        <v>-6.2251136909606099E-3</v>
      </c>
      <c r="U13" s="64">
        <f t="shared" si="1"/>
        <v>0</v>
      </c>
      <c r="V13" s="64">
        <f t="shared" ca="1" si="1"/>
        <v>0</v>
      </c>
      <c r="W13" s="64">
        <f t="shared" ca="1" si="1"/>
        <v>0</v>
      </c>
      <c r="X13" s="64">
        <f t="shared" ca="1" si="1"/>
        <v>0.18691822098691935</v>
      </c>
    </row>
    <row r="14" spans="1:33" x14ac:dyDescent="0.2">
      <c r="A14" s="14" t="s">
        <v>1066</v>
      </c>
      <c r="B14" s="64">
        <f t="shared" ref="B14:X14" si="2">IF($X$10&lt;&gt;0,(B$9-B$8)/$X$10,0)</f>
        <v>0</v>
      </c>
      <c r="C14" s="64">
        <f t="shared" si="2"/>
        <v>1.5198870337957706E-4</v>
      </c>
      <c r="D14" s="64">
        <f t="shared" ca="1" si="2"/>
        <v>0</v>
      </c>
      <c r="E14" s="64">
        <f t="shared" si="2"/>
        <v>0</v>
      </c>
      <c r="F14" s="64">
        <f t="shared" si="2"/>
        <v>0</v>
      </c>
      <c r="G14" s="64">
        <f t="shared" si="2"/>
        <v>0.12664409467390492</v>
      </c>
      <c r="H14" s="64">
        <f t="shared" si="2"/>
        <v>2.4928384492570687E-2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0</v>
      </c>
      <c r="N14" s="64">
        <f t="shared" si="2"/>
        <v>5.5133285297269345E-2</v>
      </c>
      <c r="O14" s="64">
        <f t="shared" si="2"/>
        <v>0</v>
      </c>
      <c r="P14" s="64">
        <f t="shared" si="2"/>
        <v>0</v>
      </c>
      <c r="Q14" s="64">
        <f t="shared" si="2"/>
        <v>-9.3694756992905356E-3</v>
      </c>
      <c r="R14" s="64">
        <f t="shared" ca="1" si="2"/>
        <v>0</v>
      </c>
      <c r="S14" s="64">
        <f t="shared" ca="1" si="2"/>
        <v>0</v>
      </c>
      <c r="T14" s="64">
        <f t="shared" si="2"/>
        <v>-2.0989770130878031E-3</v>
      </c>
      <c r="U14" s="64">
        <f t="shared" si="2"/>
        <v>0</v>
      </c>
      <c r="V14" s="64">
        <f t="shared" ca="1" si="2"/>
        <v>0</v>
      </c>
      <c r="W14" s="64">
        <f t="shared" ca="1" si="2"/>
        <v>0</v>
      </c>
      <c r="X14" s="64">
        <f t="shared" ca="1" si="2"/>
        <v>0.19538930045474645</v>
      </c>
    </row>
    <row r="15" spans="1:33" x14ac:dyDescent="0.2">
      <c r="A15" s="14" t="s">
        <v>1067</v>
      </c>
      <c r="B15" s="64">
        <f t="shared" ref="B15:X15" si="3">IF($X$8&lt;&gt;0,(B$9-B$8)/$X$8,0)</f>
        <v>0</v>
      </c>
      <c r="C15" s="64">
        <f t="shared" si="3"/>
        <v>1.5198870337957706E-4</v>
      </c>
      <c r="D15" s="64">
        <f t="shared" ca="1" si="3"/>
        <v>0</v>
      </c>
      <c r="E15" s="64">
        <f t="shared" si="3"/>
        <v>0</v>
      </c>
      <c r="F15" s="64">
        <f t="shared" si="3"/>
        <v>0</v>
      </c>
      <c r="G15" s="64">
        <f t="shared" si="3"/>
        <v>0.12664409467390492</v>
      </c>
      <c r="H15" s="64">
        <f t="shared" si="3"/>
        <v>2.4928384492570687E-2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0</v>
      </c>
      <c r="N15" s="64">
        <f t="shared" si="3"/>
        <v>5.5133285297269345E-2</v>
      </c>
      <c r="O15" s="64">
        <f t="shared" si="3"/>
        <v>0</v>
      </c>
      <c r="P15" s="64">
        <f t="shared" si="3"/>
        <v>0</v>
      </c>
      <c r="Q15" s="64">
        <f t="shared" si="3"/>
        <v>-9.3694756992905356E-3</v>
      </c>
      <c r="R15" s="64">
        <f t="shared" ca="1" si="3"/>
        <v>0</v>
      </c>
      <c r="S15" s="64">
        <f t="shared" ca="1" si="3"/>
        <v>0</v>
      </c>
      <c r="T15" s="64">
        <f t="shared" si="3"/>
        <v>-2.0989770130878031E-3</v>
      </c>
      <c r="U15" s="64">
        <f t="shared" si="3"/>
        <v>0</v>
      </c>
      <c r="V15" s="64">
        <f t="shared" ca="1" si="3"/>
        <v>0</v>
      </c>
      <c r="W15" s="64">
        <f t="shared" ca="1" si="3"/>
        <v>0</v>
      </c>
      <c r="X15" s="64">
        <f t="shared" ca="1" si="3"/>
        <v>0.19538930045474645</v>
      </c>
    </row>
  </sheetData>
  <dataValidations count="6">
    <dataValidation type="list" allowBlank="1" showInputMessage="1" showErrorMessage="1" error="Deve-se selecionar grupo válido" sqref="A2" xr:uid="{F84C1C3B-44BF-41D3-A5DF-4099DBC2B46A}">
      <formula1>AA1:AA6</formula1>
    </dataValidation>
    <dataValidation type="list" allowBlank="1" showInputMessage="1" showErrorMessage="1" error="Deve-se selecionar grupo válido" sqref="B2" xr:uid="{D183FECD-14E9-4198-916D-B307A9D1F56F}">
      <formula1>AB1:AB7</formula1>
    </dataValidation>
    <dataValidation type="list" allowBlank="1" showInputMessage="1" showErrorMessage="1" error="Deve-se selecionar grupo válido" sqref="C2 E2" xr:uid="{3FF92D05-E640-4542-89CC-2684F2E93EFB}">
      <formula1>AC1:AC4</formula1>
    </dataValidation>
    <dataValidation type="list" allowBlank="1" showInputMessage="1" showErrorMessage="1" error="Deve-se selecionar grupo válido" sqref="D2" xr:uid="{A86247B9-DF20-4841-A8F4-766301790C18}">
      <formula1>AD1:AD10</formula1>
    </dataValidation>
    <dataValidation type="list" allowBlank="1" showInputMessage="1" showErrorMessage="1" error="Deve-se selecionar grupo válido" sqref="F2" xr:uid="{814BC545-E810-4EB2-B967-B22E85EE3957}">
      <formula1>AF1:AF1</formula1>
    </dataValidation>
    <dataValidation type="list" allowBlank="1" showInputMessage="1" showErrorMessage="1" error="Deve-se selecionar grupo válido" sqref="G2" xr:uid="{6C4B3256-CC71-47F9-BEDB-8997E0B83501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FBB2-46D5-43A8-BE69-AE7DED5A3C5B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1064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71</v>
      </c>
      <c r="AC2" s="14" t="s">
        <v>24</v>
      </c>
      <c r="AD2" s="14" t="s">
        <v>24</v>
      </c>
      <c r="AG2" s="14" t="s">
        <v>73</v>
      </c>
    </row>
    <row r="3" spans="1:33" x14ac:dyDescent="0.2">
      <c r="AA3" s="14" t="s">
        <v>43</v>
      </c>
      <c r="AB3" s="14" t="s">
        <v>85</v>
      </c>
      <c r="AC3" s="14" t="s">
        <v>44</v>
      </c>
      <c r="AD3" s="14" t="s">
        <v>29</v>
      </c>
      <c r="AG3" s="14" t="s">
        <v>74</v>
      </c>
    </row>
    <row r="4" spans="1:33" x14ac:dyDescent="0.2">
      <c r="AA4" s="14" t="s">
        <v>33</v>
      </c>
      <c r="AB4" s="14" t="s">
        <v>86</v>
      </c>
      <c r="AC4" s="14" t="s">
        <v>47</v>
      </c>
      <c r="AD4" s="14" t="s">
        <v>30</v>
      </c>
      <c r="AG4" s="14" t="s">
        <v>84</v>
      </c>
    </row>
    <row r="5" spans="1:33" x14ac:dyDescent="0.2">
      <c r="A5" s="14" t="s">
        <v>1057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484</v>
      </c>
      <c r="AA5" s="14" t="s">
        <v>46</v>
      </c>
      <c r="AD5" s="14" t="s">
        <v>31</v>
      </c>
      <c r="AG5" s="14" t="s">
        <v>78</v>
      </c>
    </row>
    <row r="6" spans="1:33" x14ac:dyDescent="0.2">
      <c r="A6" s="14" t="s">
        <v>1058</v>
      </c>
      <c r="B6" s="45">
        <f>SUM(TE!$X$47:'TE'!$X$83)</f>
        <v>0</v>
      </c>
      <c r="C6" s="45">
        <f>SUM(TE!$Y$47:'TE'!$Y$83)</f>
        <v>0</v>
      </c>
      <c r="D6" s="45">
        <f>SUM(TE!$Z$47:'TE'!$Z$83)</f>
        <v>0</v>
      </c>
      <c r="E6" s="45">
        <f>SUM(TE!$AA$47:'TE'!$AA$83)</f>
        <v>0</v>
      </c>
      <c r="F6" s="45">
        <f>SUM(TE!$AB$47:'TE'!$AB$83)</f>
        <v>0</v>
      </c>
      <c r="G6" s="45">
        <f>SUM(TE!$AC$47:'TE'!$AC$83)</f>
        <v>21315977.343923923</v>
      </c>
      <c r="H6" s="45">
        <f>SUM(TE!$AD$47:'TE'!$AD$83)</f>
        <v>0</v>
      </c>
      <c r="I6" s="45">
        <f>SUM(TE!$AE$47:'TE'!$AE$83)</f>
        <v>0</v>
      </c>
      <c r="J6" s="45">
        <f>SUM(TE!$AF$47:'TE'!$AF$83)</f>
        <v>0</v>
      </c>
      <c r="K6" s="45">
        <f>SUM(TE!$AG$47:'TE'!$AG$83)</f>
        <v>0</v>
      </c>
      <c r="L6" s="45">
        <f>SUM(TE!$AH$47:'TE'!$AH$83)</f>
        <v>0</v>
      </c>
      <c r="M6" s="45">
        <f t="shared" ref="M6:M11" si="0">SUM(B6:L6)</f>
        <v>21315977.343923923</v>
      </c>
      <c r="AD6" s="14" t="s">
        <v>32</v>
      </c>
    </row>
    <row r="7" spans="1:33" x14ac:dyDescent="0.2">
      <c r="A7" s="14" t="s">
        <v>1059</v>
      </c>
      <c r="B7" s="45">
        <f>SUM(TE!$L$47:'TE'!$L$83)</f>
        <v>0</v>
      </c>
      <c r="C7" s="45">
        <f>SUM(TE!$M$47:'TE'!$M$83)</f>
        <v>0</v>
      </c>
      <c r="D7" s="45">
        <f>SUM(TE!$N$47:'TE'!$N$83)</f>
        <v>0</v>
      </c>
      <c r="E7" s="45">
        <f>SUM(TE!$O$47:'TE'!$O$83)</f>
        <v>0</v>
      </c>
      <c r="F7" s="45">
        <f>SUM(TE!$P$47:'TE'!$P$83)</f>
        <v>0</v>
      </c>
      <c r="G7" s="45">
        <f>SUM(TE!$Q$47:'TE'!$Q$83)</f>
        <v>19407410.367457874</v>
      </c>
      <c r="H7" s="45">
        <f>SUM(TE!$R$47:'TE'!$R$83)</f>
        <v>0</v>
      </c>
      <c r="I7" s="45">
        <f>SUM(TE!$S$47:'TE'!$S$83)</f>
        <v>0</v>
      </c>
      <c r="J7" s="45">
        <f>SUM(TE!$T$47:'TE'!$T$83)</f>
        <v>0</v>
      </c>
      <c r="K7" s="45">
        <f>SUM(TE!$U$47:'TE'!$U$83)</f>
        <v>0</v>
      </c>
      <c r="L7" s="45">
        <f>SUM(TE!$V$47:'TE'!$V$83)</f>
        <v>0</v>
      </c>
      <c r="M7" s="45">
        <f t="shared" si="0"/>
        <v>19407410.367457874</v>
      </c>
      <c r="AD7" s="14" t="s">
        <v>88</v>
      </c>
    </row>
    <row r="8" spans="1:33" x14ac:dyDescent="0.2">
      <c r="A8" s="14" t="s">
        <v>1062</v>
      </c>
      <c r="B8" s="45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5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45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5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5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5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13581334.256979635</v>
      </c>
      <c r="H8" s="45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5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5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5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5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5">
        <f t="shared" si="0"/>
        <v>13581334.256979635</v>
      </c>
      <c r="AD8" s="14" t="s">
        <v>89</v>
      </c>
    </row>
    <row r="9" spans="1:33" x14ac:dyDescent="0.2">
      <c r="A9" s="14" t="s">
        <v>1063</v>
      </c>
      <c r="B9" s="45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5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45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5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5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45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12348582.574231194</v>
      </c>
      <c r="H9" s="45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5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5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5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5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45">
        <f t="shared" si="0"/>
        <v>12348582.574231194</v>
      </c>
      <c r="AD9" s="14" t="s">
        <v>48</v>
      </c>
    </row>
    <row r="10" spans="1:33" x14ac:dyDescent="0.2">
      <c r="A10" s="14" t="s">
        <v>1060</v>
      </c>
      <c r="B10" s="45">
        <f>SUMIF(TE!$A$47:'TE'!$A$83,$A$2,TE!$X$47:'TE'!$X$83)</f>
        <v>0</v>
      </c>
      <c r="C10" s="45">
        <f>SUMIF(TE!$A$47:'TE'!$A$83,$A$2,TE!$Y$47:'TE'!$Y$83)</f>
        <v>0</v>
      </c>
      <c r="D10" s="45">
        <f>SUMIF(TE!$A$47:'TE'!$A$83,$A$2,TE!$Z$47:'TE'!$Z$83)</f>
        <v>0</v>
      </c>
      <c r="E10" s="45">
        <f>SUMIF(TE!$A$47:'TE'!$A$83,$A$2,TE!$AA$47:'TE'!$AA$83)</f>
        <v>0</v>
      </c>
      <c r="F10" s="45">
        <f>SUMIF(TE!$A$47:'TE'!$A$83,$A$2,TE!$AB$47:'TE'!$AB$83)</f>
        <v>0</v>
      </c>
      <c r="G10" s="45">
        <f>SUMIF(TE!$A$47:'TE'!$A$83,$A$2,TE!$AC$47:'TE'!$AC$83)</f>
        <v>13581334.256979635</v>
      </c>
      <c r="H10" s="45">
        <f>SUMIF(TE!$A$47:'TE'!$A$83,$A$2,TE!$AD$47:'TE'!$AD$83)</f>
        <v>0</v>
      </c>
      <c r="I10" s="45">
        <f>SUMIF(TE!$A$47:'TE'!$A$83,$A$2,TE!$AE$47:'TE'!$AE$83)</f>
        <v>0</v>
      </c>
      <c r="J10" s="45">
        <f>SUMIF(TE!$A$47:'TE'!$A$83,$A$2,TE!$AF$47:'TE'!$AF$83)</f>
        <v>0</v>
      </c>
      <c r="K10" s="45">
        <f>SUMIF(TE!$A$47:'TE'!$A$83,$A$2,TE!$AG$47:'TE'!$AG$83)</f>
        <v>0</v>
      </c>
      <c r="L10" s="45">
        <f>SUMIF(TE!$A$47:'TE'!$A$83,$A$2,TE!$AH$47:'TE'!$AH$83)</f>
        <v>0</v>
      </c>
      <c r="M10" s="45">
        <f t="shared" si="0"/>
        <v>13581334.256979635</v>
      </c>
      <c r="AD10" s="14" t="s">
        <v>90</v>
      </c>
    </row>
    <row r="11" spans="1:33" x14ac:dyDescent="0.2">
      <c r="A11" s="14" t="s">
        <v>1061</v>
      </c>
      <c r="B11" s="45">
        <f>SUMIF(TE!$A$47:'TE'!$A$83,$A$2,TE!$L$47:'TE'!$L$83)</f>
        <v>0</v>
      </c>
      <c r="C11" s="45">
        <f>SUMIF(TE!$A$47:'TE'!$A$83,$A$2,TE!$M$47:'TE'!$M$83)</f>
        <v>0</v>
      </c>
      <c r="D11" s="45">
        <f>SUMIF(TE!$A$47:'TE'!$A$83,$A$2,TE!$N$47:'TE'!$N$83)</f>
        <v>0</v>
      </c>
      <c r="E11" s="45">
        <f>SUMIF(TE!$A$47:'TE'!$A$83,$A$2,TE!$O$47:'TE'!$O$83)</f>
        <v>0</v>
      </c>
      <c r="F11" s="45">
        <f>SUMIF(TE!$A$47:'TE'!$A$83,$A$2,TE!$P$47:'TE'!$P$83)</f>
        <v>0</v>
      </c>
      <c r="G11" s="45">
        <f>SUMIF(TE!$A$47:'TE'!$A$83,$A$2,TE!$Q$47:'TE'!$Q$83)</f>
        <v>12348582.574231194</v>
      </c>
      <c r="H11" s="45">
        <f>SUMIF(TE!$A$47:'TE'!$A$83,$A$2,TE!$R$47:'TE'!$R$83)</f>
        <v>0</v>
      </c>
      <c r="I11" s="45">
        <f>SUMIF(TE!$A$47:'TE'!$A$83,$A$2,TE!$S$47:'TE'!$S$83)</f>
        <v>0</v>
      </c>
      <c r="J11" s="45">
        <f>SUMIF(TE!$A$47:'TE'!$A$83,$A$2,TE!$T$47:'TE'!$T$83)</f>
        <v>0</v>
      </c>
      <c r="K11" s="45">
        <f>SUMIF(TE!$A$47:'TE'!$A$83,$A$2,TE!$U$47:'TE'!$U$83)</f>
        <v>0</v>
      </c>
      <c r="L11" s="45">
        <f>SUMIF(TE!$A$47:'TE'!$A$83,$A$2,TE!$V$47:'TE'!$V$83)</f>
        <v>0</v>
      </c>
      <c r="M11" s="45">
        <f t="shared" si="0"/>
        <v>12348582.574231194</v>
      </c>
    </row>
    <row r="13" spans="1:33" x14ac:dyDescent="0.2">
      <c r="A13" s="14" t="s">
        <v>1065</v>
      </c>
      <c r="B13" s="64">
        <f t="shared" ref="B13:M13" si="1">IF($M$6&lt;&gt;0,(B$7-B$6)/$M$6,0)</f>
        <v>0</v>
      </c>
      <c r="C13" s="64">
        <f t="shared" si="1"/>
        <v>0</v>
      </c>
      <c r="D13" s="64">
        <f t="shared" si="1"/>
        <v>0</v>
      </c>
      <c r="E13" s="64">
        <f t="shared" si="1"/>
        <v>0</v>
      </c>
      <c r="F13" s="64">
        <f t="shared" si="1"/>
        <v>0</v>
      </c>
      <c r="G13" s="64">
        <f t="shared" si="1"/>
        <v>-8.9536920858572872E-2</v>
      </c>
      <c r="H13" s="64">
        <f t="shared" si="1"/>
        <v>0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-8.9536920858572872E-2</v>
      </c>
    </row>
    <row r="14" spans="1:33" x14ac:dyDescent="0.2">
      <c r="A14" s="14" t="s">
        <v>1066</v>
      </c>
      <c r="B14" s="64">
        <f t="shared" ref="B14:M14" si="2">IF($M$10&lt;&gt;0,(B$9-B$8)/$M$10,0)</f>
        <v>0</v>
      </c>
      <c r="C14" s="64">
        <f t="shared" si="2"/>
        <v>0</v>
      </c>
      <c r="D14" s="64">
        <f t="shared" si="2"/>
        <v>0</v>
      </c>
      <c r="E14" s="64">
        <f t="shared" si="2"/>
        <v>0</v>
      </c>
      <c r="F14" s="64">
        <f t="shared" si="2"/>
        <v>0</v>
      </c>
      <c r="G14" s="64">
        <f t="shared" si="2"/>
        <v>-9.0768083564021884E-2</v>
      </c>
      <c r="H14" s="64">
        <f t="shared" si="2"/>
        <v>0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-9.0768083564021884E-2</v>
      </c>
    </row>
    <row r="15" spans="1:33" x14ac:dyDescent="0.2">
      <c r="A15" s="14" t="s">
        <v>1067</v>
      </c>
      <c r="B15" s="64">
        <f t="shared" ref="B15:M15" si="3">IF($M$8&lt;&gt;0,(B$9-B$8)/$M$8,0)</f>
        <v>0</v>
      </c>
      <c r="C15" s="64">
        <f t="shared" si="3"/>
        <v>0</v>
      </c>
      <c r="D15" s="64">
        <f t="shared" si="3"/>
        <v>0</v>
      </c>
      <c r="E15" s="64">
        <f t="shared" si="3"/>
        <v>0</v>
      </c>
      <c r="F15" s="64">
        <f t="shared" si="3"/>
        <v>0</v>
      </c>
      <c r="G15" s="64">
        <f t="shared" si="3"/>
        <v>-9.0768083564021884E-2</v>
      </c>
      <c r="H15" s="64">
        <f t="shared" si="3"/>
        <v>0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-9.0768083564021884E-2</v>
      </c>
    </row>
  </sheetData>
  <dataValidations count="4">
    <dataValidation type="list" allowBlank="1" showInputMessage="1" showErrorMessage="1" sqref="A2 G2" xr:uid="{F5F8446A-57A0-403C-96FC-05A47EB93D68}">
      <formula1>AA1:AA5</formula1>
    </dataValidation>
    <dataValidation type="list" allowBlank="1" showInputMessage="1" showErrorMessage="1" sqref="B2 C2" xr:uid="{64207EFE-FFD3-4F8B-8418-4EF694DC336A}">
      <formula1>AB1:AB4</formula1>
    </dataValidation>
    <dataValidation type="list" allowBlank="1" showInputMessage="1" showErrorMessage="1" sqref="D2" xr:uid="{CA56275F-8911-4472-A86A-4ADB134C5312}">
      <formula1>AD1:AD10</formula1>
    </dataValidation>
    <dataValidation type="list" allowBlank="1" showInputMessage="1" showErrorMessage="1" sqref="E2 F2" xr:uid="{DAA61699-76EF-455E-9914-F3732AAD52CF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4F8B-F245-416B-9AB8-A2291C0C9373}">
  <dimension ref="B1:U16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57" t="s">
        <v>679</v>
      </c>
      <c r="C1" s="57" t="s">
        <v>680</v>
      </c>
      <c r="D1" s="57" t="s">
        <v>681</v>
      </c>
      <c r="E1" s="57" t="s">
        <v>2</v>
      </c>
      <c r="F1" s="57" t="s">
        <v>682</v>
      </c>
      <c r="G1" s="57" t="s">
        <v>589</v>
      </c>
      <c r="H1" s="57" t="s">
        <v>3</v>
      </c>
      <c r="I1" s="57" t="s">
        <v>683</v>
      </c>
      <c r="J1" s="57" t="s">
        <v>5</v>
      </c>
      <c r="K1" s="57" t="s">
        <v>1</v>
      </c>
      <c r="L1" s="57" t="s">
        <v>684</v>
      </c>
      <c r="M1" s="57" t="s">
        <v>685</v>
      </c>
      <c r="N1" s="57" t="s">
        <v>686</v>
      </c>
      <c r="O1" s="57" t="s">
        <v>687</v>
      </c>
      <c r="P1" s="57" t="s">
        <v>688</v>
      </c>
      <c r="Q1" s="57" t="s">
        <v>689</v>
      </c>
      <c r="R1" s="57" t="s">
        <v>690</v>
      </c>
      <c r="S1" s="57" t="s">
        <v>691</v>
      </c>
      <c r="T1" s="57" t="s">
        <v>692</v>
      </c>
      <c r="U1" s="57" t="s">
        <v>693</v>
      </c>
    </row>
    <row r="2" spans="2:21" x14ac:dyDescent="0.25">
      <c r="B2" s="56" t="s">
        <v>664</v>
      </c>
      <c r="C2" s="56">
        <v>7921</v>
      </c>
      <c r="D2" s="56">
        <v>5364</v>
      </c>
      <c r="E2" s="56" t="s">
        <v>39</v>
      </c>
      <c r="F2" s="56">
        <v>1</v>
      </c>
      <c r="G2" s="56" t="s">
        <v>665</v>
      </c>
      <c r="H2" s="56" t="s">
        <v>44</v>
      </c>
      <c r="I2" s="56" t="s">
        <v>25</v>
      </c>
      <c r="J2" s="56" t="s">
        <v>613</v>
      </c>
      <c r="K2" s="56" t="s">
        <v>35</v>
      </c>
      <c r="L2" s="56">
        <v>0.1</v>
      </c>
      <c r="M2" s="56">
        <v>0.08</v>
      </c>
      <c r="N2" s="56">
        <v>0.06</v>
      </c>
      <c r="O2" s="56">
        <v>0.04</v>
      </c>
      <c r="P2" s="56">
        <v>0.02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666</v>
      </c>
      <c r="C3" s="56">
        <v>7922</v>
      </c>
      <c r="D3" s="56">
        <v>5364</v>
      </c>
      <c r="E3" s="56" t="s">
        <v>23</v>
      </c>
      <c r="F3" s="56">
        <v>1</v>
      </c>
      <c r="G3" s="56" t="s">
        <v>665</v>
      </c>
      <c r="H3" s="56" t="s">
        <v>44</v>
      </c>
      <c r="I3" s="56" t="s">
        <v>25</v>
      </c>
      <c r="J3" s="56" t="s">
        <v>613</v>
      </c>
      <c r="K3" s="56" t="s">
        <v>35</v>
      </c>
      <c r="L3" s="56">
        <v>0.1</v>
      </c>
      <c r="M3" s="56">
        <v>0.08</v>
      </c>
      <c r="N3" s="56">
        <v>0.06</v>
      </c>
      <c r="O3" s="56">
        <v>0.04</v>
      </c>
      <c r="P3" s="56">
        <v>0.02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667</v>
      </c>
      <c r="C4" s="56">
        <v>7923</v>
      </c>
      <c r="D4" s="56">
        <v>5364</v>
      </c>
      <c r="E4" s="56" t="s">
        <v>23</v>
      </c>
      <c r="F4" s="56">
        <v>1</v>
      </c>
      <c r="G4" s="56" t="s">
        <v>665</v>
      </c>
      <c r="H4" s="56" t="s">
        <v>44</v>
      </c>
      <c r="I4" s="56" t="s">
        <v>25</v>
      </c>
      <c r="J4" s="56" t="s">
        <v>44</v>
      </c>
      <c r="K4" s="56" t="s">
        <v>43</v>
      </c>
      <c r="L4" s="56">
        <v>0.3</v>
      </c>
      <c r="M4" s="56">
        <v>0.24</v>
      </c>
      <c r="N4" s="56">
        <v>0.18</v>
      </c>
      <c r="O4" s="56">
        <v>0.12</v>
      </c>
      <c r="P4" s="56">
        <v>0.06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668</v>
      </c>
      <c r="C5" s="56">
        <v>7924</v>
      </c>
      <c r="D5" s="56">
        <v>5364</v>
      </c>
      <c r="E5" s="56" t="s">
        <v>41</v>
      </c>
      <c r="F5" s="56">
        <v>1</v>
      </c>
      <c r="G5" s="56" t="s">
        <v>665</v>
      </c>
      <c r="H5" s="56" t="s">
        <v>44</v>
      </c>
      <c r="I5" s="56" t="s">
        <v>25</v>
      </c>
      <c r="J5" s="56" t="s">
        <v>44</v>
      </c>
      <c r="K5" s="56" t="s">
        <v>43</v>
      </c>
      <c r="L5" s="56">
        <v>0.3</v>
      </c>
      <c r="M5" s="56">
        <v>0.24</v>
      </c>
      <c r="N5" s="56">
        <v>0.18</v>
      </c>
      <c r="O5" s="56">
        <v>0.12</v>
      </c>
      <c r="P5" s="56">
        <v>0.06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669</v>
      </c>
      <c r="C6" s="56">
        <v>7925</v>
      </c>
      <c r="D6" s="56">
        <v>5364</v>
      </c>
      <c r="E6" s="56" t="s">
        <v>23</v>
      </c>
      <c r="F6" s="56">
        <v>1</v>
      </c>
      <c r="G6" s="56" t="s">
        <v>665</v>
      </c>
      <c r="H6" s="56" t="s">
        <v>44</v>
      </c>
      <c r="I6" s="56" t="s">
        <v>89</v>
      </c>
      <c r="J6" s="56" t="s">
        <v>614</v>
      </c>
      <c r="K6" s="56" t="s">
        <v>43</v>
      </c>
      <c r="L6" s="56">
        <v>0.4</v>
      </c>
      <c r="M6" s="56">
        <v>0.32</v>
      </c>
      <c r="N6" s="56">
        <v>0.24</v>
      </c>
      <c r="O6" s="56">
        <v>0.16</v>
      </c>
      <c r="P6" s="56">
        <v>0.08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670</v>
      </c>
      <c r="C7" s="56">
        <v>7926</v>
      </c>
      <c r="D7" s="56">
        <v>5364</v>
      </c>
      <c r="E7" s="56" t="s">
        <v>615</v>
      </c>
      <c r="F7" s="56">
        <v>1</v>
      </c>
      <c r="G7" s="56" t="s">
        <v>665</v>
      </c>
      <c r="H7" s="56" t="s">
        <v>44</v>
      </c>
      <c r="I7" s="56" t="s">
        <v>89</v>
      </c>
      <c r="J7" s="56" t="s">
        <v>614</v>
      </c>
      <c r="K7" s="56" t="s">
        <v>43</v>
      </c>
      <c r="L7" s="56">
        <v>0.4</v>
      </c>
      <c r="M7" s="56">
        <v>0.32</v>
      </c>
      <c r="N7" s="56">
        <v>0.24</v>
      </c>
      <c r="O7" s="56">
        <v>0.16</v>
      </c>
      <c r="P7" s="56">
        <v>0.08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671</v>
      </c>
      <c r="C8" s="56">
        <v>7912</v>
      </c>
      <c r="D8" s="56">
        <v>5364</v>
      </c>
      <c r="E8" s="56" t="s">
        <v>36</v>
      </c>
      <c r="F8" s="56">
        <v>1</v>
      </c>
      <c r="G8" s="56" t="s">
        <v>665</v>
      </c>
      <c r="H8" s="56" t="s">
        <v>49</v>
      </c>
      <c r="I8" s="56" t="s">
        <v>50</v>
      </c>
      <c r="J8" s="56" t="s">
        <v>614</v>
      </c>
      <c r="K8" s="56" t="s">
        <v>35</v>
      </c>
      <c r="L8" s="56">
        <v>0.15</v>
      </c>
      <c r="M8" s="56">
        <v>0.12</v>
      </c>
      <c r="N8" s="56">
        <v>0.09</v>
      </c>
      <c r="O8" s="56">
        <v>0.06</v>
      </c>
      <c r="P8" s="56">
        <v>0.03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672</v>
      </c>
      <c r="C9" s="56">
        <v>7913</v>
      </c>
      <c r="D9" s="56">
        <v>5364</v>
      </c>
      <c r="E9" s="56" t="s">
        <v>39</v>
      </c>
      <c r="F9" s="56">
        <v>1</v>
      </c>
      <c r="G9" s="56" t="s">
        <v>665</v>
      </c>
      <c r="H9" s="56" t="s">
        <v>49</v>
      </c>
      <c r="I9" s="56" t="s">
        <v>50</v>
      </c>
      <c r="J9" s="56" t="s">
        <v>614</v>
      </c>
      <c r="K9" s="56" t="s">
        <v>35</v>
      </c>
      <c r="L9" s="56">
        <v>0.15</v>
      </c>
      <c r="M9" s="56">
        <v>0.12</v>
      </c>
      <c r="N9" s="56">
        <v>0.09</v>
      </c>
      <c r="O9" s="56">
        <v>0.06</v>
      </c>
      <c r="P9" s="56">
        <v>0.03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673</v>
      </c>
      <c r="C10" s="56">
        <v>7914</v>
      </c>
      <c r="D10" s="56">
        <v>5364</v>
      </c>
      <c r="E10" s="56" t="s">
        <v>616</v>
      </c>
      <c r="F10" s="56">
        <v>1</v>
      </c>
      <c r="G10" s="56" t="s">
        <v>665</v>
      </c>
      <c r="H10" s="56" t="s">
        <v>49</v>
      </c>
      <c r="I10" s="56" t="s">
        <v>50</v>
      </c>
      <c r="J10" s="56" t="s">
        <v>614</v>
      </c>
      <c r="K10" s="56" t="s">
        <v>35</v>
      </c>
      <c r="L10" s="56">
        <v>0.15</v>
      </c>
      <c r="M10" s="56">
        <v>0.12</v>
      </c>
      <c r="N10" s="56">
        <v>0.09</v>
      </c>
      <c r="O10" s="56">
        <v>0.06</v>
      </c>
      <c r="P10" s="56">
        <v>0.03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674</v>
      </c>
      <c r="C11" s="56">
        <v>7915</v>
      </c>
      <c r="D11" s="56">
        <v>5364</v>
      </c>
      <c r="E11" s="56" t="s">
        <v>23</v>
      </c>
      <c r="F11" s="56">
        <v>1</v>
      </c>
      <c r="G11" s="56" t="s">
        <v>665</v>
      </c>
      <c r="H11" s="56" t="s">
        <v>49</v>
      </c>
      <c r="I11" s="56" t="s">
        <v>50</v>
      </c>
      <c r="J11" s="56" t="s">
        <v>614</v>
      </c>
      <c r="K11" s="56" t="s">
        <v>33</v>
      </c>
      <c r="L11" s="56">
        <v>0.15</v>
      </c>
      <c r="M11" s="56">
        <v>0.12</v>
      </c>
      <c r="N11" s="56">
        <v>0.09</v>
      </c>
      <c r="O11" s="56">
        <v>0.06</v>
      </c>
      <c r="P11" s="56">
        <v>0.03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675</v>
      </c>
      <c r="C12" s="56">
        <v>7916</v>
      </c>
      <c r="D12" s="56">
        <v>5364</v>
      </c>
      <c r="E12" s="56" t="s">
        <v>41</v>
      </c>
      <c r="F12" s="56">
        <v>1</v>
      </c>
      <c r="G12" s="56" t="s">
        <v>665</v>
      </c>
      <c r="H12" s="56" t="s">
        <v>49</v>
      </c>
      <c r="I12" s="56" t="s">
        <v>50</v>
      </c>
      <c r="J12" s="56" t="s">
        <v>614</v>
      </c>
      <c r="K12" s="56" t="s">
        <v>33</v>
      </c>
      <c r="L12" s="56">
        <v>0.15</v>
      </c>
      <c r="M12" s="56">
        <v>0.12</v>
      </c>
      <c r="N12" s="56">
        <v>0.09</v>
      </c>
      <c r="O12" s="56">
        <v>0.06</v>
      </c>
      <c r="P12" s="56">
        <v>0.03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676</v>
      </c>
      <c r="C13" s="56">
        <v>7917</v>
      </c>
      <c r="D13" s="56">
        <v>5364</v>
      </c>
      <c r="E13" s="56" t="s">
        <v>23</v>
      </c>
      <c r="F13" s="56">
        <v>1</v>
      </c>
      <c r="G13" s="56" t="s">
        <v>665</v>
      </c>
      <c r="H13" s="56" t="s">
        <v>44</v>
      </c>
      <c r="I13" s="56" t="s">
        <v>88</v>
      </c>
      <c r="J13" s="56" t="s">
        <v>614</v>
      </c>
      <c r="K13" s="56" t="s">
        <v>43</v>
      </c>
      <c r="L13" s="56">
        <v>0.3</v>
      </c>
      <c r="M13" s="56">
        <v>0.24</v>
      </c>
      <c r="N13" s="56">
        <v>0.18</v>
      </c>
      <c r="O13" s="56">
        <v>0.12</v>
      </c>
      <c r="P13" s="56">
        <v>0.06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677</v>
      </c>
      <c r="C14" s="56">
        <v>7918</v>
      </c>
      <c r="D14" s="56">
        <v>5364</v>
      </c>
      <c r="E14" s="56" t="s">
        <v>615</v>
      </c>
      <c r="F14" s="56">
        <v>1</v>
      </c>
      <c r="G14" s="56" t="s">
        <v>665</v>
      </c>
      <c r="H14" s="56" t="s">
        <v>44</v>
      </c>
      <c r="I14" s="56" t="s">
        <v>88</v>
      </c>
      <c r="J14" s="56" t="s">
        <v>614</v>
      </c>
      <c r="K14" s="56" t="s">
        <v>43</v>
      </c>
      <c r="L14" s="56">
        <v>0.3</v>
      </c>
      <c r="M14" s="56">
        <v>0.24</v>
      </c>
      <c r="N14" s="56">
        <v>0.18</v>
      </c>
      <c r="O14" s="56">
        <v>0.12</v>
      </c>
      <c r="P14" s="56">
        <v>0.06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667</v>
      </c>
      <c r="C15" s="56">
        <v>7919</v>
      </c>
      <c r="D15" s="56">
        <v>5364</v>
      </c>
      <c r="E15" s="56" t="s">
        <v>23</v>
      </c>
      <c r="F15" s="56">
        <v>1</v>
      </c>
      <c r="G15" s="56" t="s">
        <v>665</v>
      </c>
      <c r="H15" s="56" t="s">
        <v>44</v>
      </c>
      <c r="I15" s="56" t="s">
        <v>25</v>
      </c>
      <c r="J15" s="56" t="s">
        <v>44</v>
      </c>
      <c r="K15" s="56" t="s">
        <v>43</v>
      </c>
      <c r="L15" s="56">
        <v>0.3</v>
      </c>
      <c r="M15" s="56">
        <v>0.24</v>
      </c>
      <c r="N15" s="56">
        <v>0.18</v>
      </c>
      <c r="O15" s="56">
        <v>0.12</v>
      </c>
      <c r="P15" s="56">
        <v>0.06</v>
      </c>
      <c r="Q15" s="56">
        <v>0</v>
      </c>
      <c r="R15" s="56"/>
      <c r="S15" s="56"/>
      <c r="T15" s="56"/>
      <c r="U15" s="56">
        <v>3</v>
      </c>
    </row>
    <row r="16" spans="2:21" x14ac:dyDescent="0.25">
      <c r="B16" s="56" t="s">
        <v>678</v>
      </c>
      <c r="C16" s="56">
        <v>7920</v>
      </c>
      <c r="D16" s="56">
        <v>5364</v>
      </c>
      <c r="E16" s="56" t="s">
        <v>36</v>
      </c>
      <c r="F16" s="56">
        <v>1</v>
      </c>
      <c r="G16" s="56" t="s">
        <v>665</v>
      </c>
      <c r="H16" s="56" t="s">
        <v>44</v>
      </c>
      <c r="I16" s="56" t="s">
        <v>25</v>
      </c>
      <c r="J16" s="56" t="s">
        <v>613</v>
      </c>
      <c r="K16" s="56" t="s">
        <v>35</v>
      </c>
      <c r="L16" s="56">
        <v>0.1</v>
      </c>
      <c r="M16" s="56">
        <v>0.08</v>
      </c>
      <c r="N16" s="56">
        <v>0.06</v>
      </c>
      <c r="O16" s="56">
        <v>0.04</v>
      </c>
      <c r="P16" s="56">
        <v>0.02</v>
      </c>
      <c r="Q16" s="56">
        <v>0</v>
      </c>
      <c r="R16" s="56"/>
      <c r="S16" s="56"/>
      <c r="T16" s="56"/>
      <c r="U16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98C8-DCB9-4673-9B9A-3D3826A75629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3" t="s">
        <v>1082</v>
      </c>
      <c r="B1" s="73" t="s">
        <v>22</v>
      </c>
      <c r="C1" s="73" t="s">
        <v>1081</v>
      </c>
      <c r="D1" s="73" t="s">
        <v>1080</v>
      </c>
      <c r="E1" s="73" t="s">
        <v>33</v>
      </c>
      <c r="F1" s="73" t="s">
        <v>1079</v>
      </c>
      <c r="G1" s="73" t="s">
        <v>1078</v>
      </c>
      <c r="H1" s="73" t="s">
        <v>582</v>
      </c>
      <c r="I1" s="73" t="s">
        <v>35</v>
      </c>
      <c r="J1" s="73" t="s">
        <v>581</v>
      </c>
      <c r="K1" s="73" t="s">
        <v>580</v>
      </c>
      <c r="L1" s="73" t="s">
        <v>579</v>
      </c>
    </row>
    <row r="2" spans="1:12" x14ac:dyDescent="0.2">
      <c r="A2" s="69" t="s">
        <v>1077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696.26149353492451</v>
      </c>
      <c r="C2" s="75">
        <f t="shared" si="0"/>
        <v>654.72464082590568</v>
      </c>
      <c r="D2" s="75">
        <f t="shared" si="0"/>
        <v>640.70595303661185</v>
      </c>
      <c r="E2" s="75">
        <f t="shared" si="0"/>
        <v>696.26149353492451</v>
      </c>
      <c r="F2" s="75">
        <f t="shared" si="0"/>
        <v>383.17746624069662</v>
      </c>
      <c r="G2" s="75">
        <f t="shared" si="0"/>
        <v>417.9645803844997</v>
      </c>
      <c r="H2" s="75">
        <f t="shared" si="0"/>
        <v>0</v>
      </c>
      <c r="I2" s="75">
        <f t="shared" si="0"/>
        <v>1126.0583268760267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2" thickBot="1" x14ac:dyDescent="0.25">
      <c r="A3" s="67" t="s">
        <v>1076</v>
      </c>
      <c r="B3" s="74">
        <v>13.41</v>
      </c>
      <c r="C3" s="74">
        <v>12.61</v>
      </c>
      <c r="D3" s="74">
        <v>12.34</v>
      </c>
      <c r="E3" s="74">
        <v>13.41</v>
      </c>
      <c r="F3" s="74">
        <v>7.38</v>
      </c>
      <c r="G3" s="74">
        <v>8.0500000000000007</v>
      </c>
      <c r="H3" s="74">
        <v>0</v>
      </c>
      <c r="I3" s="74">
        <f>'TUSD BE'!$AC$6</f>
        <v>21.687889253709077</v>
      </c>
      <c r="J3" s="74">
        <v>0</v>
      </c>
      <c r="K3" s="74">
        <v>0</v>
      </c>
      <c r="L3" s="74">
        <v>0</v>
      </c>
    </row>
    <row r="5" spans="1:12" ht="12" thickBot="1" x14ac:dyDescent="0.25">
      <c r="A5" s="73" t="s">
        <v>1075</v>
      </c>
      <c r="B5" s="73" t="s">
        <v>1074</v>
      </c>
    </row>
    <row r="6" spans="1:12" x14ac:dyDescent="0.2">
      <c r="A6" s="69" t="s">
        <v>1073</v>
      </c>
      <c r="B6" s="72">
        <v>8.1942000000000001E-2</v>
      </c>
    </row>
    <row r="7" spans="1:12" x14ac:dyDescent="0.2">
      <c r="A7" s="71" t="s">
        <v>1072</v>
      </c>
      <c r="B7" s="70">
        <v>0</v>
      </c>
    </row>
    <row r="8" spans="1:12" x14ac:dyDescent="0.2">
      <c r="A8" s="69" t="s">
        <v>1071</v>
      </c>
      <c r="B8" s="68">
        <v>30237728.700547267</v>
      </c>
    </row>
    <row r="9" spans="1:12" x14ac:dyDescent="0.2">
      <c r="A9" s="71" t="s">
        <v>1070</v>
      </c>
      <c r="B9" s="70">
        <v>0.04</v>
      </c>
    </row>
    <row r="10" spans="1:12" x14ac:dyDescent="0.2">
      <c r="A10" s="69" t="s">
        <v>1069</v>
      </c>
      <c r="B10" s="68">
        <v>17777668.960000001</v>
      </c>
    </row>
    <row r="11" spans="1:12" ht="12" thickBot="1" x14ac:dyDescent="0.25">
      <c r="A11" s="67" t="s">
        <v>1068</v>
      </c>
      <c r="B11" s="66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27B-A7D8-4089-BB3E-B29AA42F9391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1122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447</v>
      </c>
      <c r="M2" s="120"/>
      <c r="N2" s="120"/>
      <c r="O2" s="120"/>
      <c r="P2" s="120"/>
      <c r="Q2" s="120"/>
      <c r="R2" s="120"/>
      <c r="S2" s="121"/>
      <c r="T2" s="120" t="s">
        <v>456</v>
      </c>
      <c r="U2" s="120"/>
      <c r="V2" s="120"/>
      <c r="W2" s="120"/>
      <c r="X2" s="120"/>
      <c r="Y2" s="120"/>
      <c r="Z2" s="121"/>
      <c r="AA2" s="122" t="s">
        <v>464</v>
      </c>
      <c r="AB2" s="120" t="s">
        <v>25</v>
      </c>
      <c r="AC2" s="120"/>
      <c r="AD2" s="121"/>
      <c r="AE2" s="120" t="s">
        <v>1121</v>
      </c>
      <c r="AF2" s="120"/>
      <c r="AG2" s="120"/>
      <c r="AH2" s="121"/>
      <c r="AI2" s="120" t="s">
        <v>447</v>
      </c>
      <c r="AJ2" s="120"/>
      <c r="AK2" s="120"/>
      <c r="AL2" s="120"/>
      <c r="AM2" s="121"/>
      <c r="AN2" s="122" t="s">
        <v>478</v>
      </c>
      <c r="AO2" s="120" t="s">
        <v>456</v>
      </c>
      <c r="AP2" s="120"/>
      <c r="AQ2" s="120"/>
      <c r="AR2" s="120"/>
      <c r="AS2" s="121"/>
      <c r="AT2" s="123" t="s">
        <v>1121</v>
      </c>
    </row>
    <row r="3" spans="2:46" ht="12" customHeight="1" x14ac:dyDescent="0.25">
      <c r="B3" s="110" t="s">
        <v>62</v>
      </c>
      <c r="C3" s="111" t="s">
        <v>63</v>
      </c>
      <c r="D3" s="111" t="s">
        <v>64</v>
      </c>
      <c r="E3" s="111" t="s">
        <v>65</v>
      </c>
      <c r="F3" s="111" t="s">
        <v>66</v>
      </c>
      <c r="G3" s="111" t="s">
        <v>68</v>
      </c>
      <c r="H3" s="111" t="s">
        <v>69</v>
      </c>
      <c r="I3" s="111" t="s">
        <v>724</v>
      </c>
      <c r="J3" s="111" t="s">
        <v>1083</v>
      </c>
      <c r="K3" s="111" t="s">
        <v>1084</v>
      </c>
      <c r="L3" s="111" t="s">
        <v>1085</v>
      </c>
      <c r="M3" s="111" t="s">
        <v>1086</v>
      </c>
      <c r="N3" s="111" t="s">
        <v>1087</v>
      </c>
      <c r="O3" s="111" t="s">
        <v>1088</v>
      </c>
      <c r="P3" s="111" t="s">
        <v>1089</v>
      </c>
      <c r="Q3" s="111" t="s">
        <v>1090</v>
      </c>
      <c r="R3" s="111" t="s">
        <v>1091</v>
      </c>
      <c r="S3" s="111" t="s">
        <v>1092</v>
      </c>
      <c r="T3" s="111" t="s">
        <v>1093</v>
      </c>
      <c r="U3" s="111" t="s">
        <v>1094</v>
      </c>
      <c r="V3" s="111" t="s">
        <v>1095</v>
      </c>
      <c r="W3" s="111" t="s">
        <v>1096</v>
      </c>
      <c r="X3" s="111" t="s">
        <v>1097</v>
      </c>
      <c r="Y3" s="111" t="s">
        <v>1098</v>
      </c>
      <c r="Z3" s="111" t="s">
        <v>1099</v>
      </c>
      <c r="AA3" s="111" t="s">
        <v>1100</v>
      </c>
      <c r="AB3" s="111" t="s">
        <v>1101</v>
      </c>
      <c r="AC3" s="111" t="s">
        <v>1102</v>
      </c>
      <c r="AD3" s="111" t="s">
        <v>1103</v>
      </c>
      <c r="AE3" s="111" t="s">
        <v>1104</v>
      </c>
      <c r="AF3" s="111" t="s">
        <v>1105</v>
      </c>
      <c r="AG3" s="111" t="s">
        <v>1106</v>
      </c>
      <c r="AH3" s="111" t="s">
        <v>1107</v>
      </c>
      <c r="AI3" s="111" t="s">
        <v>1108</v>
      </c>
      <c r="AJ3" s="111" t="s">
        <v>1109</v>
      </c>
      <c r="AK3" s="111" t="s">
        <v>1110</v>
      </c>
      <c r="AL3" s="111" t="s">
        <v>1111</v>
      </c>
      <c r="AM3" s="111" t="s">
        <v>1112</v>
      </c>
      <c r="AN3" s="111" t="s">
        <v>1113</v>
      </c>
      <c r="AO3" s="111" t="s">
        <v>1114</v>
      </c>
      <c r="AP3" s="111" t="s">
        <v>1115</v>
      </c>
      <c r="AQ3" s="111" t="s">
        <v>1116</v>
      </c>
      <c r="AR3" s="111" t="s">
        <v>1117</v>
      </c>
      <c r="AS3" s="111" t="s">
        <v>1118</v>
      </c>
      <c r="AT3" s="112" t="s">
        <v>1119</v>
      </c>
    </row>
    <row r="4" spans="2:46" ht="12" customHeight="1" x14ac:dyDescent="0.25">
      <c r="B4" s="113" t="s">
        <v>35</v>
      </c>
      <c r="C4" s="114" t="s">
        <v>36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72</v>
      </c>
      <c r="I4" s="114" t="s">
        <v>25</v>
      </c>
      <c r="J4" s="114">
        <v>6.48</v>
      </c>
      <c r="K4" s="114">
        <v>0</v>
      </c>
      <c r="L4" s="114">
        <v>0</v>
      </c>
      <c r="M4" s="114">
        <v>0.47230462615303898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6.0119108773734098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36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105.27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29.508489920701599</v>
      </c>
      <c r="Y5" s="114">
        <v>0</v>
      </c>
      <c r="Z5" s="114">
        <v>0</v>
      </c>
      <c r="AA5" s="114">
        <v>75.762832049327798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36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72</v>
      </c>
      <c r="I6" s="114" t="s">
        <v>25</v>
      </c>
      <c r="J6" s="114">
        <v>6.48</v>
      </c>
      <c r="K6" s="114">
        <v>0</v>
      </c>
      <c r="L6" s="114">
        <v>0</v>
      </c>
      <c r="M6" s="114">
        <v>0.47230462615303898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6.0119108773734098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36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37.72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16.9857974286565</v>
      </c>
      <c r="Y7" s="114">
        <v>0</v>
      </c>
      <c r="Z7" s="114">
        <v>0</v>
      </c>
      <c r="AA7" s="114">
        <v>20.736052642425001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36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72</v>
      </c>
      <c r="I8" s="114" t="s">
        <v>25</v>
      </c>
      <c r="J8" s="114">
        <v>94.52</v>
      </c>
      <c r="K8" s="114">
        <v>136.62</v>
      </c>
      <c r="L8" s="114">
        <v>0</v>
      </c>
      <c r="M8" s="114">
        <v>0.47230462615303898</v>
      </c>
      <c r="N8" s="114">
        <v>0</v>
      </c>
      <c r="O8" s="114">
        <v>0</v>
      </c>
      <c r="P8" s="114">
        <v>0</v>
      </c>
      <c r="Q8" s="114">
        <v>74.110242457433202</v>
      </c>
      <c r="R8" s="114">
        <v>13.923236804208599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6.0119108773734098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136.62265710865699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36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105.27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29.508489920701599</v>
      </c>
      <c r="Y9" s="114">
        <v>0</v>
      </c>
      <c r="Z9" s="114">
        <v>0</v>
      </c>
      <c r="AA9" s="114">
        <v>75.762832049327798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36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72</v>
      </c>
      <c r="I10" s="114" t="s">
        <v>25</v>
      </c>
      <c r="J10" s="114">
        <v>94.52</v>
      </c>
      <c r="K10" s="114">
        <v>136.62</v>
      </c>
      <c r="L10" s="114">
        <v>0</v>
      </c>
      <c r="M10" s="114">
        <v>0.47230462615303898</v>
      </c>
      <c r="N10" s="114">
        <v>0</v>
      </c>
      <c r="O10" s="114">
        <v>0</v>
      </c>
      <c r="P10" s="114">
        <v>0</v>
      </c>
      <c r="Q10" s="114">
        <v>74.110242457433202</v>
      </c>
      <c r="R10" s="114">
        <v>13.923236804208599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6.0119108773734098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136.62265710865699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36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37.72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16.9857974286565</v>
      </c>
      <c r="Y11" s="114">
        <v>0</v>
      </c>
      <c r="Z11" s="114">
        <v>0</v>
      </c>
      <c r="AA11" s="114">
        <v>20.736052642425001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11.59</v>
      </c>
      <c r="K12" s="114">
        <v>0</v>
      </c>
      <c r="L12" s="114">
        <v>0</v>
      </c>
      <c r="M12" s="114">
        <v>1.17191283340466E-2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11.5733534446516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39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72</v>
      </c>
      <c r="I13" s="114" t="s">
        <v>25</v>
      </c>
      <c r="J13" s="114">
        <v>2538.65</v>
      </c>
      <c r="K13" s="114">
        <v>0</v>
      </c>
      <c r="L13" s="114">
        <v>0</v>
      </c>
      <c r="M13" s="114">
        <v>0.47230462615303898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710.066996080085</v>
      </c>
      <c r="Y13" s="114">
        <v>0</v>
      </c>
      <c r="Z13" s="114">
        <v>0</v>
      </c>
      <c r="AA13" s="114">
        <v>1822.09483037326</v>
      </c>
      <c r="AB13" s="114">
        <v>0</v>
      </c>
      <c r="AC13" s="114">
        <v>0</v>
      </c>
      <c r="AD13" s="114">
        <v>0</v>
      </c>
      <c r="AE13" s="114">
        <v>6.0119108773734098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39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37.72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16.9857974286565</v>
      </c>
      <c r="Y14" s="114">
        <v>0</v>
      </c>
      <c r="Z14" s="114">
        <v>0</v>
      </c>
      <c r="AA14" s="114">
        <v>20.736052642425001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39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72</v>
      </c>
      <c r="I15" s="114" t="s">
        <v>25</v>
      </c>
      <c r="J15" s="114">
        <v>6.48</v>
      </c>
      <c r="K15" s="114">
        <v>0</v>
      </c>
      <c r="L15" s="114">
        <v>0</v>
      </c>
      <c r="M15" s="114">
        <v>0.47230462615303898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6.0119108773734098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39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72</v>
      </c>
      <c r="I16" s="114" t="s">
        <v>25</v>
      </c>
      <c r="J16" s="114">
        <v>2626.68</v>
      </c>
      <c r="K16" s="114">
        <v>136.62</v>
      </c>
      <c r="L16" s="114">
        <v>0</v>
      </c>
      <c r="M16" s="114">
        <v>0.47230462615303898</v>
      </c>
      <c r="N16" s="114">
        <v>0</v>
      </c>
      <c r="O16" s="114">
        <v>0</v>
      </c>
      <c r="P16" s="114">
        <v>0</v>
      </c>
      <c r="Q16" s="114">
        <v>74.110242457433202</v>
      </c>
      <c r="R16" s="114">
        <v>13.923236804208599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710.066996080085</v>
      </c>
      <c r="Y16" s="114">
        <v>0</v>
      </c>
      <c r="Z16" s="114">
        <v>0</v>
      </c>
      <c r="AA16" s="114">
        <v>1822.09483037326</v>
      </c>
      <c r="AB16" s="114">
        <v>0</v>
      </c>
      <c r="AC16" s="114">
        <v>0</v>
      </c>
      <c r="AD16" s="114">
        <v>0</v>
      </c>
      <c r="AE16" s="114">
        <v>6.0119108773734098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136.62265710865699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39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37.72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16.9857974286565</v>
      </c>
      <c r="Y17" s="114">
        <v>0</v>
      </c>
      <c r="Z17" s="114">
        <v>0</v>
      </c>
      <c r="AA17" s="114">
        <v>20.736052642425001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39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72</v>
      </c>
      <c r="I18" s="114" t="s">
        <v>25</v>
      </c>
      <c r="J18" s="114">
        <v>94.52</v>
      </c>
      <c r="K18" s="114">
        <v>136.62</v>
      </c>
      <c r="L18" s="114">
        <v>0</v>
      </c>
      <c r="M18" s="114">
        <v>0.47230462615303898</v>
      </c>
      <c r="N18" s="114">
        <v>0</v>
      </c>
      <c r="O18" s="114">
        <v>0</v>
      </c>
      <c r="P18" s="114">
        <v>0</v>
      </c>
      <c r="Q18" s="114">
        <v>74.110242457433202</v>
      </c>
      <c r="R18" s="114">
        <v>13.923236804208599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6.0119108773734098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136.62265710865699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6.65</v>
      </c>
      <c r="K19" s="114">
        <v>0</v>
      </c>
      <c r="L19" s="114">
        <v>0</v>
      </c>
      <c r="M19" s="114">
        <v>6.7109538323172997E-3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6.6480311479807899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19.79</v>
      </c>
      <c r="K20" s="114">
        <v>0</v>
      </c>
      <c r="L20" s="114">
        <v>0</v>
      </c>
      <c r="M20" s="114">
        <v>6.7109538323172997E-3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19.787914663882301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41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72</v>
      </c>
      <c r="I21" s="114" t="s">
        <v>25</v>
      </c>
      <c r="J21" s="114">
        <v>1396.59</v>
      </c>
      <c r="K21" s="114">
        <v>136.62</v>
      </c>
      <c r="L21" s="114">
        <v>0</v>
      </c>
      <c r="M21" s="114">
        <v>1.67469972716246</v>
      </c>
      <c r="N21" s="114">
        <v>0</v>
      </c>
      <c r="O21" s="114">
        <v>0</v>
      </c>
      <c r="P21" s="114">
        <v>0</v>
      </c>
      <c r="Q21" s="114">
        <v>88.226479115991907</v>
      </c>
      <c r="R21" s="114">
        <v>13.923236804208599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275.67255928855201</v>
      </c>
      <c r="Y21" s="114">
        <v>0</v>
      </c>
      <c r="Z21" s="114">
        <v>0</v>
      </c>
      <c r="AA21" s="114">
        <v>1005.09359749841</v>
      </c>
      <c r="AB21" s="114">
        <v>0</v>
      </c>
      <c r="AC21" s="114">
        <v>0</v>
      </c>
      <c r="AD21" s="114">
        <v>0</v>
      </c>
      <c r="AE21" s="114">
        <v>12.000057231218999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136.62265710865699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41</v>
      </c>
      <c r="D22" s="114" t="s">
        <v>24</v>
      </c>
      <c r="E22" s="114" t="s">
        <v>24</v>
      </c>
      <c r="F22" s="114" t="s">
        <v>25</v>
      </c>
      <c r="G22" s="114" t="s">
        <v>42</v>
      </c>
      <c r="H22" s="114" t="s">
        <v>72</v>
      </c>
      <c r="I22" s="114" t="s">
        <v>25</v>
      </c>
      <c r="J22" s="114">
        <v>884.32</v>
      </c>
      <c r="K22" s="114">
        <v>136.62</v>
      </c>
      <c r="L22" s="114">
        <v>0</v>
      </c>
      <c r="M22" s="114">
        <v>1.67469972716246</v>
      </c>
      <c r="N22" s="114">
        <v>0</v>
      </c>
      <c r="O22" s="114">
        <v>0</v>
      </c>
      <c r="P22" s="114">
        <v>0</v>
      </c>
      <c r="Q22" s="114">
        <v>88.226479115991907</v>
      </c>
      <c r="R22" s="114">
        <v>13.923236804208599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165.43820046584301</v>
      </c>
      <c r="Y22" s="114">
        <v>0</v>
      </c>
      <c r="Z22" s="114">
        <v>0</v>
      </c>
      <c r="AA22" s="114">
        <v>603.05622172932203</v>
      </c>
      <c r="AB22" s="114">
        <v>0</v>
      </c>
      <c r="AC22" s="114">
        <v>0</v>
      </c>
      <c r="AD22" s="114">
        <v>0</v>
      </c>
      <c r="AE22" s="114">
        <v>12.000057231218999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136.62265710865699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41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72</v>
      </c>
      <c r="I23" s="114" t="s">
        <v>25</v>
      </c>
      <c r="J23" s="114">
        <v>372</v>
      </c>
      <c r="K23" s="114">
        <v>136.62</v>
      </c>
      <c r="L23" s="114">
        <v>0</v>
      </c>
      <c r="M23" s="114">
        <v>1.67469972716246</v>
      </c>
      <c r="N23" s="114">
        <v>0</v>
      </c>
      <c r="O23" s="114">
        <v>0</v>
      </c>
      <c r="P23" s="114">
        <v>0</v>
      </c>
      <c r="Q23" s="114">
        <v>88.226479115991907</v>
      </c>
      <c r="R23" s="114">
        <v>13.923236804208599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55.160510527244099</v>
      </c>
      <c r="Y23" s="114">
        <v>0</v>
      </c>
      <c r="Z23" s="114">
        <v>0</v>
      </c>
      <c r="AA23" s="114">
        <v>201.01852980885599</v>
      </c>
      <c r="AB23" s="114">
        <v>0</v>
      </c>
      <c r="AC23" s="114">
        <v>0</v>
      </c>
      <c r="AD23" s="114">
        <v>0</v>
      </c>
      <c r="AE23" s="114">
        <v>12.000057231218999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136.62265710865699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1120</v>
      </c>
      <c r="F24" s="114" t="s">
        <v>25</v>
      </c>
      <c r="G24" s="114" t="s">
        <v>25</v>
      </c>
      <c r="H24" s="114" t="s">
        <v>72</v>
      </c>
      <c r="I24" s="114" t="s">
        <v>25</v>
      </c>
      <c r="J24" s="114">
        <v>488.06</v>
      </c>
      <c r="K24" s="114">
        <v>136.62</v>
      </c>
      <c r="L24" s="114">
        <v>0</v>
      </c>
      <c r="M24" s="114">
        <v>1.67469972716246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102.131440151386</v>
      </c>
      <c r="Y24" s="114">
        <v>0</v>
      </c>
      <c r="Z24" s="114">
        <v>0</v>
      </c>
      <c r="AA24" s="114">
        <v>372.25686454375398</v>
      </c>
      <c r="AB24" s="114">
        <v>0</v>
      </c>
      <c r="AC24" s="114">
        <v>0</v>
      </c>
      <c r="AD24" s="114">
        <v>0</v>
      </c>
      <c r="AE24" s="114">
        <v>12.000057231218999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136.62265710865699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72</v>
      </c>
      <c r="I25" s="114" t="s">
        <v>25</v>
      </c>
      <c r="J25" s="114">
        <v>590.21</v>
      </c>
      <c r="K25" s="114">
        <v>136.62</v>
      </c>
      <c r="L25" s="114">
        <v>0</v>
      </c>
      <c r="M25" s="114">
        <v>1.67469972716246</v>
      </c>
      <c r="N25" s="114">
        <v>0</v>
      </c>
      <c r="O25" s="114">
        <v>0</v>
      </c>
      <c r="P25" s="114">
        <v>0</v>
      </c>
      <c r="Q25" s="114">
        <v>88.226479115991907</v>
      </c>
      <c r="R25" s="114">
        <v>13.923236804208599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102.131440151386</v>
      </c>
      <c r="Y25" s="114">
        <v>0</v>
      </c>
      <c r="Z25" s="114">
        <v>0</v>
      </c>
      <c r="AA25" s="114">
        <v>372.25686454375398</v>
      </c>
      <c r="AB25" s="114">
        <v>0</v>
      </c>
      <c r="AC25" s="114">
        <v>0</v>
      </c>
      <c r="AD25" s="114">
        <v>0</v>
      </c>
      <c r="AE25" s="114">
        <v>12.000057231218999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136.62265710865699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1120</v>
      </c>
      <c r="F26" s="114" t="s">
        <v>25</v>
      </c>
      <c r="G26" s="114" t="s">
        <v>25</v>
      </c>
      <c r="H26" s="114" t="s">
        <v>72</v>
      </c>
      <c r="I26" s="114" t="s">
        <v>25</v>
      </c>
      <c r="J26" s="114">
        <v>488.06</v>
      </c>
      <c r="K26" s="114">
        <v>136.62</v>
      </c>
      <c r="L26" s="114">
        <v>0</v>
      </c>
      <c r="M26" s="114">
        <v>1.67469972716246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102.131440151386</v>
      </c>
      <c r="Y26" s="114">
        <v>0</v>
      </c>
      <c r="Z26" s="114">
        <v>0</v>
      </c>
      <c r="AA26" s="114">
        <v>372.25686454375398</v>
      </c>
      <c r="AB26" s="114">
        <v>0</v>
      </c>
      <c r="AC26" s="114">
        <v>0</v>
      </c>
      <c r="AD26" s="114">
        <v>0</v>
      </c>
      <c r="AE26" s="114">
        <v>12.000057231218999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136.62265710865699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72</v>
      </c>
      <c r="I27" s="114" t="s">
        <v>25</v>
      </c>
      <c r="J27" s="114">
        <v>590.21</v>
      </c>
      <c r="K27" s="114">
        <v>136.62</v>
      </c>
      <c r="L27" s="114">
        <v>0</v>
      </c>
      <c r="M27" s="114">
        <v>1.67469972716246</v>
      </c>
      <c r="N27" s="114">
        <v>0</v>
      </c>
      <c r="O27" s="114">
        <v>0</v>
      </c>
      <c r="P27" s="114">
        <v>0</v>
      </c>
      <c r="Q27" s="114">
        <v>88.226479115991907</v>
      </c>
      <c r="R27" s="114">
        <v>13.923236804208599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102.131440151386</v>
      </c>
      <c r="Y27" s="114">
        <v>0</v>
      </c>
      <c r="Z27" s="114">
        <v>0</v>
      </c>
      <c r="AA27" s="114">
        <v>372.25686454375398</v>
      </c>
      <c r="AB27" s="114">
        <v>0</v>
      </c>
      <c r="AC27" s="114">
        <v>0</v>
      </c>
      <c r="AD27" s="114">
        <v>0</v>
      </c>
      <c r="AE27" s="114">
        <v>12.000057231218999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136.62265710865699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43</v>
      </c>
      <c r="C28" s="114" t="s">
        <v>41</v>
      </c>
      <c r="D28" s="114" t="s">
        <v>44</v>
      </c>
      <c r="E28" s="114" t="s">
        <v>88</v>
      </c>
      <c r="F28" s="114" t="s">
        <v>25</v>
      </c>
      <c r="G28" s="114" t="s">
        <v>37</v>
      </c>
      <c r="H28" s="114" t="s">
        <v>72</v>
      </c>
      <c r="I28" s="114" t="s">
        <v>25</v>
      </c>
      <c r="J28" s="114">
        <v>1424.31</v>
      </c>
      <c r="K28" s="114">
        <v>128.43</v>
      </c>
      <c r="L28" s="114">
        <v>0</v>
      </c>
      <c r="M28" s="114">
        <v>1.57421774353271</v>
      </c>
      <c r="N28" s="114">
        <v>0</v>
      </c>
      <c r="O28" s="114">
        <v>0</v>
      </c>
      <c r="P28" s="114">
        <v>0</v>
      </c>
      <c r="Q28" s="114">
        <v>82.932890369032407</v>
      </c>
      <c r="R28" s="114">
        <v>13.087842595956101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283.16364260351702</v>
      </c>
      <c r="Y28" s="114">
        <v>0</v>
      </c>
      <c r="Z28" s="114">
        <v>0</v>
      </c>
      <c r="AA28" s="114">
        <v>1032.26834481629</v>
      </c>
      <c r="AB28" s="114">
        <v>0</v>
      </c>
      <c r="AC28" s="114">
        <v>0</v>
      </c>
      <c r="AD28" s="114">
        <v>0</v>
      </c>
      <c r="AE28" s="114">
        <v>11.2800537973459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128.425297682137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43</v>
      </c>
      <c r="C29" s="114" t="s">
        <v>41</v>
      </c>
      <c r="D29" s="114" t="s">
        <v>44</v>
      </c>
      <c r="E29" s="114" t="s">
        <v>88</v>
      </c>
      <c r="F29" s="114" t="s">
        <v>25</v>
      </c>
      <c r="G29" s="114" t="s">
        <v>42</v>
      </c>
      <c r="H29" s="114" t="s">
        <v>72</v>
      </c>
      <c r="I29" s="114" t="s">
        <v>25</v>
      </c>
      <c r="J29" s="114">
        <v>898.09</v>
      </c>
      <c r="K29" s="114">
        <v>128.43</v>
      </c>
      <c r="L29" s="114">
        <v>0</v>
      </c>
      <c r="M29" s="114">
        <v>1.57421774353271</v>
      </c>
      <c r="N29" s="114">
        <v>0</v>
      </c>
      <c r="O29" s="114">
        <v>0</v>
      </c>
      <c r="P29" s="114">
        <v>0</v>
      </c>
      <c r="Q29" s="114">
        <v>82.932890369032407</v>
      </c>
      <c r="R29" s="114">
        <v>13.087842595956101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169.84930806338701</v>
      </c>
      <c r="Y29" s="114">
        <v>0</v>
      </c>
      <c r="Z29" s="114">
        <v>0</v>
      </c>
      <c r="AA29" s="114">
        <v>619.36118519914896</v>
      </c>
      <c r="AB29" s="114">
        <v>0</v>
      </c>
      <c r="AC29" s="114">
        <v>0</v>
      </c>
      <c r="AD29" s="114">
        <v>0</v>
      </c>
      <c r="AE29" s="114">
        <v>11.2800537973459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128.425297682137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43</v>
      </c>
      <c r="C30" s="114" t="s">
        <v>41</v>
      </c>
      <c r="D30" s="114" t="s">
        <v>44</v>
      </c>
      <c r="E30" s="114" t="s">
        <v>88</v>
      </c>
      <c r="F30" s="114" t="s">
        <v>25</v>
      </c>
      <c r="G30" s="114" t="s">
        <v>38</v>
      </c>
      <c r="H30" s="114" t="s">
        <v>72</v>
      </c>
      <c r="I30" s="114" t="s">
        <v>25</v>
      </c>
      <c r="J30" s="114">
        <v>371.99</v>
      </c>
      <c r="K30" s="114">
        <v>128.43</v>
      </c>
      <c r="L30" s="114">
        <v>0</v>
      </c>
      <c r="M30" s="114">
        <v>1.57421774353271</v>
      </c>
      <c r="N30" s="114">
        <v>0</v>
      </c>
      <c r="O30" s="114">
        <v>0</v>
      </c>
      <c r="P30" s="114">
        <v>0</v>
      </c>
      <c r="Q30" s="114">
        <v>82.932890369032407</v>
      </c>
      <c r="R30" s="114">
        <v>13.087842595956101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56.657167270064903</v>
      </c>
      <c r="Y30" s="114">
        <v>0</v>
      </c>
      <c r="Z30" s="114">
        <v>0</v>
      </c>
      <c r="AA30" s="114">
        <v>206.453728399716</v>
      </c>
      <c r="AB30" s="114">
        <v>0</v>
      </c>
      <c r="AC30" s="114">
        <v>0</v>
      </c>
      <c r="AD30" s="114">
        <v>0</v>
      </c>
      <c r="AE30" s="114">
        <v>11.2800537973459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128.425297682137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43</v>
      </c>
      <c r="C31" s="114" t="s">
        <v>41</v>
      </c>
      <c r="D31" s="114" t="s">
        <v>44</v>
      </c>
      <c r="E31" s="114" t="s">
        <v>25</v>
      </c>
      <c r="F31" s="114" t="s">
        <v>25</v>
      </c>
      <c r="G31" s="114" t="s">
        <v>37</v>
      </c>
      <c r="H31" s="114" t="s">
        <v>72</v>
      </c>
      <c r="I31" s="114" t="s">
        <v>25</v>
      </c>
      <c r="J31" s="114">
        <v>1424.31</v>
      </c>
      <c r="K31" s="114">
        <v>128.43</v>
      </c>
      <c r="L31" s="114">
        <v>0</v>
      </c>
      <c r="M31" s="114">
        <v>1.57421774353271</v>
      </c>
      <c r="N31" s="114">
        <v>0</v>
      </c>
      <c r="O31" s="114">
        <v>0</v>
      </c>
      <c r="P31" s="114">
        <v>0</v>
      </c>
      <c r="Q31" s="114">
        <v>82.932890369032407</v>
      </c>
      <c r="R31" s="114">
        <v>13.087842595956101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283.16364260351702</v>
      </c>
      <c r="Y31" s="114">
        <v>0</v>
      </c>
      <c r="Z31" s="114">
        <v>0</v>
      </c>
      <c r="AA31" s="114">
        <v>1032.26834481629</v>
      </c>
      <c r="AB31" s="114">
        <v>0</v>
      </c>
      <c r="AC31" s="114">
        <v>0</v>
      </c>
      <c r="AD31" s="114">
        <v>0</v>
      </c>
      <c r="AE31" s="114">
        <v>11.2800537973459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128.425297682137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43</v>
      </c>
      <c r="C32" s="114" t="s">
        <v>41</v>
      </c>
      <c r="D32" s="114" t="s">
        <v>44</v>
      </c>
      <c r="E32" s="114" t="s">
        <v>25</v>
      </c>
      <c r="F32" s="114" t="s">
        <v>25</v>
      </c>
      <c r="G32" s="114" t="s">
        <v>42</v>
      </c>
      <c r="H32" s="114" t="s">
        <v>72</v>
      </c>
      <c r="I32" s="114" t="s">
        <v>25</v>
      </c>
      <c r="J32" s="114">
        <v>898.09</v>
      </c>
      <c r="K32" s="114">
        <v>128.43</v>
      </c>
      <c r="L32" s="114">
        <v>0</v>
      </c>
      <c r="M32" s="114">
        <v>1.57421774353271</v>
      </c>
      <c r="N32" s="114">
        <v>0</v>
      </c>
      <c r="O32" s="114">
        <v>0</v>
      </c>
      <c r="P32" s="114">
        <v>0</v>
      </c>
      <c r="Q32" s="114">
        <v>82.932890369032407</v>
      </c>
      <c r="R32" s="114">
        <v>13.087842595956101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169.84930806338701</v>
      </c>
      <c r="Y32" s="114">
        <v>0</v>
      </c>
      <c r="Z32" s="114">
        <v>0</v>
      </c>
      <c r="AA32" s="114">
        <v>619.36118519914896</v>
      </c>
      <c r="AB32" s="114">
        <v>0</v>
      </c>
      <c r="AC32" s="114">
        <v>0</v>
      </c>
      <c r="AD32" s="114">
        <v>0</v>
      </c>
      <c r="AE32" s="114">
        <v>11.2800537973459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128.425297682137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43</v>
      </c>
      <c r="C33" s="114" t="s">
        <v>41</v>
      </c>
      <c r="D33" s="114" t="s">
        <v>44</v>
      </c>
      <c r="E33" s="114" t="s">
        <v>25</v>
      </c>
      <c r="F33" s="114" t="s">
        <v>25</v>
      </c>
      <c r="G33" s="114" t="s">
        <v>38</v>
      </c>
      <c r="H33" s="114" t="s">
        <v>72</v>
      </c>
      <c r="I33" s="114" t="s">
        <v>25</v>
      </c>
      <c r="J33" s="114">
        <v>371.99</v>
      </c>
      <c r="K33" s="114">
        <v>128.43</v>
      </c>
      <c r="L33" s="114">
        <v>0</v>
      </c>
      <c r="M33" s="114">
        <v>1.57421774353271</v>
      </c>
      <c r="N33" s="114">
        <v>0</v>
      </c>
      <c r="O33" s="114">
        <v>0</v>
      </c>
      <c r="P33" s="114">
        <v>0</v>
      </c>
      <c r="Q33" s="114">
        <v>82.932890369032407</v>
      </c>
      <c r="R33" s="114">
        <v>13.087842595956101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56.657167270064903</v>
      </c>
      <c r="Y33" s="114">
        <v>0</v>
      </c>
      <c r="Z33" s="114">
        <v>0</v>
      </c>
      <c r="AA33" s="114">
        <v>206.453728399716</v>
      </c>
      <c r="AB33" s="114">
        <v>0</v>
      </c>
      <c r="AC33" s="114">
        <v>0</v>
      </c>
      <c r="AD33" s="114">
        <v>0</v>
      </c>
      <c r="AE33" s="114">
        <v>11.2800537973459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128.425297682137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43</v>
      </c>
      <c r="C34" s="114" t="s">
        <v>41</v>
      </c>
      <c r="D34" s="114" t="s">
        <v>44</v>
      </c>
      <c r="E34" s="114" t="s">
        <v>89</v>
      </c>
      <c r="F34" s="114" t="s">
        <v>25</v>
      </c>
      <c r="G34" s="114" t="s">
        <v>37</v>
      </c>
      <c r="H34" s="114" t="s">
        <v>72</v>
      </c>
      <c r="I34" s="114" t="s">
        <v>25</v>
      </c>
      <c r="J34" s="114">
        <v>1394</v>
      </c>
      <c r="K34" s="114">
        <v>125.69</v>
      </c>
      <c r="L34" s="114">
        <v>0</v>
      </c>
      <c r="M34" s="114">
        <v>1.5407237489894601</v>
      </c>
      <c r="N34" s="114">
        <v>0</v>
      </c>
      <c r="O34" s="114">
        <v>0</v>
      </c>
      <c r="P34" s="114">
        <v>0</v>
      </c>
      <c r="Q34" s="114">
        <v>81.168360786712597</v>
      </c>
      <c r="R34" s="114">
        <v>12.809377859871899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277.13888425024999</v>
      </c>
      <c r="Y34" s="114">
        <v>0</v>
      </c>
      <c r="Z34" s="114">
        <v>0</v>
      </c>
      <c r="AA34" s="114">
        <v>1010.3051885436</v>
      </c>
      <c r="AB34" s="114">
        <v>0</v>
      </c>
      <c r="AC34" s="114">
        <v>0</v>
      </c>
      <c r="AD34" s="114">
        <v>0</v>
      </c>
      <c r="AE34" s="114">
        <v>11.040052652721499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125.692844539964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43</v>
      </c>
      <c r="C35" s="114" t="s">
        <v>41</v>
      </c>
      <c r="D35" s="114" t="s">
        <v>44</v>
      </c>
      <c r="E35" s="114" t="s">
        <v>89</v>
      </c>
      <c r="F35" s="114" t="s">
        <v>25</v>
      </c>
      <c r="G35" s="114" t="s">
        <v>42</v>
      </c>
      <c r="H35" s="114" t="s">
        <v>72</v>
      </c>
      <c r="I35" s="114" t="s">
        <v>25</v>
      </c>
      <c r="J35" s="114">
        <v>878.98</v>
      </c>
      <c r="K35" s="114">
        <v>125.69</v>
      </c>
      <c r="L35" s="114">
        <v>0</v>
      </c>
      <c r="M35" s="114">
        <v>1.5407237489894601</v>
      </c>
      <c r="N35" s="114">
        <v>0</v>
      </c>
      <c r="O35" s="114">
        <v>0</v>
      </c>
      <c r="P35" s="114">
        <v>0</v>
      </c>
      <c r="Q35" s="114">
        <v>81.168360786712597</v>
      </c>
      <c r="R35" s="114">
        <v>12.809377859871899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166.235492998208</v>
      </c>
      <c r="Y35" s="114">
        <v>0</v>
      </c>
      <c r="Z35" s="114">
        <v>0</v>
      </c>
      <c r="AA35" s="114">
        <v>606.18328764172099</v>
      </c>
      <c r="AB35" s="114">
        <v>0</v>
      </c>
      <c r="AC35" s="114">
        <v>0</v>
      </c>
      <c r="AD35" s="114">
        <v>0</v>
      </c>
      <c r="AE35" s="114">
        <v>11.040052652721499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125.692844539964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43</v>
      </c>
      <c r="C36" s="114" t="s">
        <v>41</v>
      </c>
      <c r="D36" s="114" t="s">
        <v>44</v>
      </c>
      <c r="E36" s="114" t="s">
        <v>89</v>
      </c>
      <c r="F36" s="114" t="s">
        <v>25</v>
      </c>
      <c r="G36" s="114" t="s">
        <v>38</v>
      </c>
      <c r="H36" s="114" t="s">
        <v>72</v>
      </c>
      <c r="I36" s="114" t="s">
        <v>25</v>
      </c>
      <c r="J36" s="114">
        <v>364.07</v>
      </c>
      <c r="K36" s="114">
        <v>125.69</v>
      </c>
      <c r="L36" s="114">
        <v>0</v>
      </c>
      <c r="M36" s="114">
        <v>1.5407237489894601</v>
      </c>
      <c r="N36" s="114">
        <v>0</v>
      </c>
      <c r="O36" s="114">
        <v>0</v>
      </c>
      <c r="P36" s="114">
        <v>0</v>
      </c>
      <c r="Q36" s="114">
        <v>81.168360786712597</v>
      </c>
      <c r="R36" s="114">
        <v>12.809377859871899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55.451695626020999</v>
      </c>
      <c r="Y36" s="114">
        <v>0</v>
      </c>
      <c r="Z36" s="114">
        <v>0</v>
      </c>
      <c r="AA36" s="114">
        <v>202.06109588057399</v>
      </c>
      <c r="AB36" s="114">
        <v>0</v>
      </c>
      <c r="AC36" s="114">
        <v>0</v>
      </c>
      <c r="AD36" s="114">
        <v>0</v>
      </c>
      <c r="AE36" s="114">
        <v>11.040052652721499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125.692844539964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43</v>
      </c>
      <c r="C37" s="114" t="s">
        <v>23</v>
      </c>
      <c r="D37" s="114" t="s">
        <v>44</v>
      </c>
      <c r="E37" s="114" t="s">
        <v>88</v>
      </c>
      <c r="F37" s="114" t="s">
        <v>25</v>
      </c>
      <c r="G37" s="114" t="s">
        <v>25</v>
      </c>
      <c r="H37" s="114" t="s">
        <v>72</v>
      </c>
      <c r="I37" s="114" t="s">
        <v>25</v>
      </c>
      <c r="J37" s="114">
        <v>554.79999999999995</v>
      </c>
      <c r="K37" s="114">
        <v>128.43</v>
      </c>
      <c r="L37" s="114">
        <v>0</v>
      </c>
      <c r="M37" s="114">
        <v>1.57421774353271</v>
      </c>
      <c r="N37" s="114">
        <v>0</v>
      </c>
      <c r="O37" s="114">
        <v>0</v>
      </c>
      <c r="P37" s="114">
        <v>0</v>
      </c>
      <c r="Q37" s="114">
        <v>82.932890369032407</v>
      </c>
      <c r="R37" s="114">
        <v>13.087842595956101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96.003553742302699</v>
      </c>
      <c r="Y37" s="114">
        <v>0</v>
      </c>
      <c r="Z37" s="114">
        <v>0</v>
      </c>
      <c r="AA37" s="114">
        <v>349.92145267112897</v>
      </c>
      <c r="AB37" s="114">
        <v>0</v>
      </c>
      <c r="AC37" s="114">
        <v>0</v>
      </c>
      <c r="AD37" s="114">
        <v>0</v>
      </c>
      <c r="AE37" s="114">
        <v>11.2800537973459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128.425297682137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43</v>
      </c>
      <c r="C38" s="114" t="s">
        <v>23</v>
      </c>
      <c r="D38" s="114" t="s">
        <v>44</v>
      </c>
      <c r="E38" s="114" t="s">
        <v>25</v>
      </c>
      <c r="F38" s="114" t="s">
        <v>25</v>
      </c>
      <c r="G38" s="114" t="s">
        <v>25</v>
      </c>
      <c r="H38" s="114" t="s">
        <v>72</v>
      </c>
      <c r="I38" s="114" t="s">
        <v>25</v>
      </c>
      <c r="J38" s="114">
        <v>554.79999999999995</v>
      </c>
      <c r="K38" s="114">
        <v>128.43</v>
      </c>
      <c r="L38" s="114">
        <v>0</v>
      </c>
      <c r="M38" s="114">
        <v>1.57421774353271</v>
      </c>
      <c r="N38" s="114">
        <v>0</v>
      </c>
      <c r="O38" s="114">
        <v>0</v>
      </c>
      <c r="P38" s="114">
        <v>0</v>
      </c>
      <c r="Q38" s="114">
        <v>82.932890369032407</v>
      </c>
      <c r="R38" s="114">
        <v>13.087842595956101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96.003553742302699</v>
      </c>
      <c r="Y38" s="114">
        <v>0</v>
      </c>
      <c r="Z38" s="114">
        <v>0</v>
      </c>
      <c r="AA38" s="114">
        <v>349.92145267112897</v>
      </c>
      <c r="AB38" s="114">
        <v>0</v>
      </c>
      <c r="AC38" s="114">
        <v>0</v>
      </c>
      <c r="AD38" s="114">
        <v>0</v>
      </c>
      <c r="AE38" s="114">
        <v>11.2800537973459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128.425297682137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43</v>
      </c>
      <c r="C39" s="114" t="s">
        <v>23</v>
      </c>
      <c r="D39" s="114" t="s">
        <v>44</v>
      </c>
      <c r="E39" s="114" t="s">
        <v>89</v>
      </c>
      <c r="F39" s="114" t="s">
        <v>25</v>
      </c>
      <c r="G39" s="114" t="s">
        <v>25</v>
      </c>
      <c r="H39" s="114" t="s">
        <v>72</v>
      </c>
      <c r="I39" s="114" t="s">
        <v>25</v>
      </c>
      <c r="J39" s="114">
        <v>543</v>
      </c>
      <c r="K39" s="114">
        <v>125.69</v>
      </c>
      <c r="L39" s="114">
        <v>0</v>
      </c>
      <c r="M39" s="114">
        <v>1.5407237489894601</v>
      </c>
      <c r="N39" s="114">
        <v>0</v>
      </c>
      <c r="O39" s="114">
        <v>0</v>
      </c>
      <c r="P39" s="114">
        <v>0</v>
      </c>
      <c r="Q39" s="114">
        <v>81.168360786712597</v>
      </c>
      <c r="R39" s="114">
        <v>12.809377859871899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93.960924939275003</v>
      </c>
      <c r="Y39" s="114">
        <v>0</v>
      </c>
      <c r="Z39" s="114">
        <v>0</v>
      </c>
      <c r="AA39" s="114">
        <v>342.47631538025399</v>
      </c>
      <c r="AB39" s="114">
        <v>0</v>
      </c>
      <c r="AC39" s="114">
        <v>0</v>
      </c>
      <c r="AD39" s="114">
        <v>0</v>
      </c>
      <c r="AE39" s="114">
        <v>11.040052652721499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125.692844539964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43</v>
      </c>
      <c r="C40" s="114" t="s">
        <v>87</v>
      </c>
      <c r="D40" s="114" t="s">
        <v>44</v>
      </c>
      <c r="E40" s="114" t="s">
        <v>88</v>
      </c>
      <c r="F40" s="114" t="s">
        <v>25</v>
      </c>
      <c r="G40" s="114" t="s">
        <v>25</v>
      </c>
      <c r="H40" s="114" t="s">
        <v>72</v>
      </c>
      <c r="I40" s="114" t="s">
        <v>25</v>
      </c>
      <c r="J40" s="114">
        <v>554.79999999999995</v>
      </c>
      <c r="K40" s="114">
        <v>128.43</v>
      </c>
      <c r="L40" s="114">
        <v>0</v>
      </c>
      <c r="M40" s="114">
        <v>1.57421774353271</v>
      </c>
      <c r="N40" s="114">
        <v>0</v>
      </c>
      <c r="O40" s="114">
        <v>0</v>
      </c>
      <c r="P40" s="114">
        <v>0</v>
      </c>
      <c r="Q40" s="114">
        <v>82.932890369032407</v>
      </c>
      <c r="R40" s="114">
        <v>13.087842595956101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96.003553742302699</v>
      </c>
      <c r="Y40" s="114">
        <v>0</v>
      </c>
      <c r="Z40" s="114">
        <v>0</v>
      </c>
      <c r="AA40" s="114">
        <v>349.92145267112897</v>
      </c>
      <c r="AB40" s="114">
        <v>0</v>
      </c>
      <c r="AC40" s="114">
        <v>0</v>
      </c>
      <c r="AD40" s="114">
        <v>0</v>
      </c>
      <c r="AE40" s="114">
        <v>11.2800537973459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128.425297682137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43</v>
      </c>
      <c r="C41" s="114" t="s">
        <v>87</v>
      </c>
      <c r="D41" s="114" t="s">
        <v>44</v>
      </c>
      <c r="E41" s="114" t="s">
        <v>25</v>
      </c>
      <c r="F41" s="114" t="s">
        <v>25</v>
      </c>
      <c r="G41" s="114" t="s">
        <v>25</v>
      </c>
      <c r="H41" s="114" t="s">
        <v>72</v>
      </c>
      <c r="I41" s="114" t="s">
        <v>25</v>
      </c>
      <c r="J41" s="114">
        <v>554.79999999999995</v>
      </c>
      <c r="K41" s="114">
        <v>128.43</v>
      </c>
      <c r="L41" s="114">
        <v>0</v>
      </c>
      <c r="M41" s="114">
        <v>1.57421774353271</v>
      </c>
      <c r="N41" s="114">
        <v>0</v>
      </c>
      <c r="O41" s="114">
        <v>0</v>
      </c>
      <c r="P41" s="114">
        <v>0</v>
      </c>
      <c r="Q41" s="114">
        <v>82.932890369032407</v>
      </c>
      <c r="R41" s="114">
        <v>13.087842595956101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96.003553742302699</v>
      </c>
      <c r="Y41" s="114">
        <v>0</v>
      </c>
      <c r="Z41" s="114">
        <v>0</v>
      </c>
      <c r="AA41" s="114">
        <v>349.92145267112897</v>
      </c>
      <c r="AB41" s="114">
        <v>0</v>
      </c>
      <c r="AC41" s="114">
        <v>0</v>
      </c>
      <c r="AD41" s="114">
        <v>0</v>
      </c>
      <c r="AE41" s="114">
        <v>11.2800537973459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128.425297682137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43</v>
      </c>
      <c r="C42" s="114" t="s">
        <v>87</v>
      </c>
      <c r="D42" s="114" t="s">
        <v>44</v>
      </c>
      <c r="E42" s="114" t="s">
        <v>89</v>
      </c>
      <c r="F42" s="114" t="s">
        <v>25</v>
      </c>
      <c r="G42" s="114" t="s">
        <v>25</v>
      </c>
      <c r="H42" s="114" t="s">
        <v>72</v>
      </c>
      <c r="I42" s="114" t="s">
        <v>25</v>
      </c>
      <c r="J42" s="114">
        <v>543</v>
      </c>
      <c r="K42" s="114">
        <v>125.69</v>
      </c>
      <c r="L42" s="114">
        <v>0</v>
      </c>
      <c r="M42" s="114">
        <v>1.5407237489894601</v>
      </c>
      <c r="N42" s="114">
        <v>0</v>
      </c>
      <c r="O42" s="114">
        <v>0</v>
      </c>
      <c r="P42" s="114">
        <v>0</v>
      </c>
      <c r="Q42" s="114">
        <v>81.168360786712597</v>
      </c>
      <c r="R42" s="114">
        <v>12.809377859871899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93.960924939275003</v>
      </c>
      <c r="Y42" s="114">
        <v>0</v>
      </c>
      <c r="Z42" s="114">
        <v>0</v>
      </c>
      <c r="AA42" s="114">
        <v>342.47631538025399</v>
      </c>
      <c r="AB42" s="114">
        <v>0</v>
      </c>
      <c r="AC42" s="114">
        <v>0</v>
      </c>
      <c r="AD42" s="114">
        <v>0</v>
      </c>
      <c r="AE42" s="114">
        <v>11.040052652721499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125.692844539964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41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72</v>
      </c>
      <c r="I43" s="114" t="s">
        <v>25</v>
      </c>
      <c r="J43" s="114">
        <v>1728.67</v>
      </c>
      <c r="K43" s="114">
        <v>136.62</v>
      </c>
      <c r="L43" s="114">
        <v>0</v>
      </c>
      <c r="M43" s="114">
        <v>1.67469972716246</v>
      </c>
      <c r="N43" s="114">
        <v>0</v>
      </c>
      <c r="O43" s="114">
        <v>0</v>
      </c>
      <c r="P43" s="114">
        <v>0</v>
      </c>
      <c r="Q43" s="114">
        <v>88.226479115991907</v>
      </c>
      <c r="R43" s="114">
        <v>13.923236804208599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347.16890050611102</v>
      </c>
      <c r="Y43" s="114">
        <v>0</v>
      </c>
      <c r="Z43" s="114">
        <v>0</v>
      </c>
      <c r="AA43" s="114">
        <v>1265.6734659093099</v>
      </c>
      <c r="AB43" s="114">
        <v>0</v>
      </c>
      <c r="AC43" s="114">
        <v>0</v>
      </c>
      <c r="AD43" s="114">
        <v>0</v>
      </c>
      <c r="AE43" s="114">
        <v>12.000057231218999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136.62265710865699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41</v>
      </c>
      <c r="D44" s="114" t="s">
        <v>25</v>
      </c>
      <c r="E44" s="114" t="s">
        <v>25</v>
      </c>
      <c r="F44" s="114" t="s">
        <v>25</v>
      </c>
      <c r="G44" s="114" t="s">
        <v>42</v>
      </c>
      <c r="H44" s="114" t="s">
        <v>72</v>
      </c>
      <c r="I44" s="114" t="s">
        <v>25</v>
      </c>
      <c r="J44" s="114">
        <v>1083.52</v>
      </c>
      <c r="K44" s="114">
        <v>136.62</v>
      </c>
      <c r="L44" s="114">
        <v>0</v>
      </c>
      <c r="M44" s="114">
        <v>1.67469972716246</v>
      </c>
      <c r="N44" s="114">
        <v>0</v>
      </c>
      <c r="O44" s="114">
        <v>0</v>
      </c>
      <c r="P44" s="114">
        <v>0</v>
      </c>
      <c r="Q44" s="114">
        <v>88.226479115991907</v>
      </c>
      <c r="R44" s="114">
        <v>13.923236804208599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208.29267408048901</v>
      </c>
      <c r="Y44" s="114">
        <v>0</v>
      </c>
      <c r="Z44" s="114">
        <v>0</v>
      </c>
      <c r="AA44" s="114">
        <v>759.40414277586399</v>
      </c>
      <c r="AB44" s="114">
        <v>0</v>
      </c>
      <c r="AC44" s="114">
        <v>0</v>
      </c>
      <c r="AD44" s="114">
        <v>0</v>
      </c>
      <c r="AE44" s="114">
        <v>12.000057231218999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136.62265710865699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41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72</v>
      </c>
      <c r="I45" s="114" t="s">
        <v>25</v>
      </c>
      <c r="J45" s="114">
        <v>438.42</v>
      </c>
      <c r="K45" s="114">
        <v>136.62</v>
      </c>
      <c r="L45" s="114">
        <v>0</v>
      </c>
      <c r="M45" s="114">
        <v>1.67469972716246</v>
      </c>
      <c r="N45" s="114">
        <v>0</v>
      </c>
      <c r="O45" s="114">
        <v>0</v>
      </c>
      <c r="P45" s="114">
        <v>0</v>
      </c>
      <c r="Q45" s="114">
        <v>88.226479115991907</v>
      </c>
      <c r="R45" s="114">
        <v>13.923236804208599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69.459778770755904</v>
      </c>
      <c r="Y45" s="114">
        <v>0</v>
      </c>
      <c r="Z45" s="114">
        <v>0</v>
      </c>
      <c r="AA45" s="114">
        <v>253.13481964241299</v>
      </c>
      <c r="AB45" s="114">
        <v>0</v>
      </c>
      <c r="AC45" s="114">
        <v>0</v>
      </c>
      <c r="AD45" s="114">
        <v>0</v>
      </c>
      <c r="AE45" s="114">
        <v>12.000057231218999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136.62265710865699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72</v>
      </c>
      <c r="I46" s="114" t="s">
        <v>25</v>
      </c>
      <c r="J46" s="114">
        <v>590.21</v>
      </c>
      <c r="K46" s="114">
        <v>136.62</v>
      </c>
      <c r="L46" s="114">
        <v>0</v>
      </c>
      <c r="M46" s="114">
        <v>1.67469972716246</v>
      </c>
      <c r="N46" s="114">
        <v>0</v>
      </c>
      <c r="O46" s="114">
        <v>0</v>
      </c>
      <c r="P46" s="114">
        <v>0</v>
      </c>
      <c r="Q46" s="114">
        <v>88.226479115991907</v>
      </c>
      <c r="R46" s="114">
        <v>13.923236804208599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102.131440151386</v>
      </c>
      <c r="Y46" s="114">
        <v>0</v>
      </c>
      <c r="Z46" s="114">
        <v>0</v>
      </c>
      <c r="AA46" s="114">
        <v>372.25686454375398</v>
      </c>
      <c r="AB46" s="114">
        <v>0</v>
      </c>
      <c r="AC46" s="114">
        <v>0</v>
      </c>
      <c r="AD46" s="114">
        <v>0</v>
      </c>
      <c r="AE46" s="114">
        <v>12.000057231218999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136.62265710865699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72</v>
      </c>
      <c r="I47" s="114" t="s">
        <v>25</v>
      </c>
      <c r="J47" s="114">
        <v>590.21</v>
      </c>
      <c r="K47" s="114">
        <v>136.62</v>
      </c>
      <c r="L47" s="114">
        <v>0</v>
      </c>
      <c r="M47" s="114">
        <v>1.67469972716246</v>
      </c>
      <c r="N47" s="114">
        <v>0</v>
      </c>
      <c r="O47" s="114">
        <v>0</v>
      </c>
      <c r="P47" s="114">
        <v>0</v>
      </c>
      <c r="Q47" s="114">
        <v>88.226479115991907</v>
      </c>
      <c r="R47" s="114">
        <v>13.923236804208599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102.131440151386</v>
      </c>
      <c r="Y47" s="114">
        <v>0</v>
      </c>
      <c r="Z47" s="114">
        <v>0</v>
      </c>
      <c r="AA47" s="114">
        <v>372.25686454375398</v>
      </c>
      <c r="AB47" s="114">
        <v>0</v>
      </c>
      <c r="AC47" s="114">
        <v>0</v>
      </c>
      <c r="AD47" s="114">
        <v>0</v>
      </c>
      <c r="AE47" s="114">
        <v>12.000057231218999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136.62265710865699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46</v>
      </c>
      <c r="C48" s="114" t="s">
        <v>23</v>
      </c>
      <c r="D48" s="114" t="s">
        <v>47</v>
      </c>
      <c r="E48" s="114" t="s">
        <v>48</v>
      </c>
      <c r="F48" s="114" t="s">
        <v>25</v>
      </c>
      <c r="G48" s="114" t="s">
        <v>25</v>
      </c>
      <c r="H48" s="114" t="s">
        <v>72</v>
      </c>
      <c r="I48" s="114" t="s">
        <v>25</v>
      </c>
      <c r="J48" s="114">
        <v>324.62</v>
      </c>
      <c r="K48" s="114">
        <v>75.14</v>
      </c>
      <c r="L48" s="114">
        <v>0</v>
      </c>
      <c r="M48" s="114">
        <v>0.92108484993935202</v>
      </c>
      <c r="N48" s="114">
        <v>0</v>
      </c>
      <c r="O48" s="114">
        <v>0</v>
      </c>
      <c r="P48" s="114">
        <v>0</v>
      </c>
      <c r="Q48" s="114">
        <v>48.524563513795599</v>
      </c>
      <c r="R48" s="114">
        <v>7.6577802423147201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56.172292083262199</v>
      </c>
      <c r="Y48" s="114">
        <v>0</v>
      </c>
      <c r="Z48" s="114">
        <v>0</v>
      </c>
      <c r="AA48" s="114">
        <v>204.74127549906501</v>
      </c>
      <c r="AB48" s="114">
        <v>0</v>
      </c>
      <c r="AC48" s="114">
        <v>0</v>
      </c>
      <c r="AD48" s="114">
        <v>0</v>
      </c>
      <c r="AE48" s="114">
        <v>6.6000314771704502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75.142461409761097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46</v>
      </c>
      <c r="C49" s="117" t="s">
        <v>23</v>
      </c>
      <c r="D49" s="117" t="s">
        <v>47</v>
      </c>
      <c r="E49" s="117" t="s">
        <v>90</v>
      </c>
      <c r="F49" s="117" t="s">
        <v>25</v>
      </c>
      <c r="G49" s="117" t="s">
        <v>25</v>
      </c>
      <c r="H49" s="117" t="s">
        <v>72</v>
      </c>
      <c r="I49" s="117" t="s">
        <v>25</v>
      </c>
      <c r="J49" s="117">
        <v>354.13</v>
      </c>
      <c r="K49" s="117">
        <v>81.97</v>
      </c>
      <c r="L49" s="117">
        <v>0</v>
      </c>
      <c r="M49" s="117">
        <v>1.0048198362974701</v>
      </c>
      <c r="N49" s="117">
        <v>0</v>
      </c>
      <c r="O49" s="117">
        <v>0</v>
      </c>
      <c r="P49" s="117">
        <v>0</v>
      </c>
      <c r="Q49" s="117">
        <v>52.935887469595201</v>
      </c>
      <c r="R49" s="117">
        <v>8.3539420825251494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61.278864090831497</v>
      </c>
      <c r="Y49" s="117">
        <v>0</v>
      </c>
      <c r="Z49" s="117">
        <v>0</v>
      </c>
      <c r="AA49" s="117">
        <v>223.35411872625201</v>
      </c>
      <c r="AB49" s="117">
        <v>0</v>
      </c>
      <c r="AC49" s="117">
        <v>0</v>
      </c>
      <c r="AD49" s="117">
        <v>0</v>
      </c>
      <c r="AE49" s="117">
        <v>7.2000343387313999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81.973594265193896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F0AA-FE27-432B-A683-B875FC131846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1122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447</v>
      </c>
      <c r="M2" s="120"/>
      <c r="N2" s="120"/>
      <c r="O2" s="120"/>
      <c r="P2" s="120"/>
      <c r="Q2" s="120"/>
      <c r="R2" s="120"/>
      <c r="S2" s="121"/>
      <c r="T2" s="120" t="s">
        <v>456</v>
      </c>
      <c r="U2" s="120"/>
      <c r="V2" s="120"/>
      <c r="W2" s="120"/>
      <c r="X2" s="120"/>
      <c r="Y2" s="120"/>
      <c r="Z2" s="121"/>
      <c r="AA2" s="122" t="s">
        <v>464</v>
      </c>
      <c r="AB2" s="120" t="s">
        <v>25</v>
      </c>
      <c r="AC2" s="120"/>
      <c r="AD2" s="121"/>
      <c r="AE2" s="120" t="s">
        <v>1121</v>
      </c>
      <c r="AF2" s="120"/>
      <c r="AG2" s="120"/>
      <c r="AH2" s="121"/>
      <c r="AI2" s="120" t="s">
        <v>447</v>
      </c>
      <c r="AJ2" s="120"/>
      <c r="AK2" s="120"/>
      <c r="AL2" s="120"/>
      <c r="AM2" s="121"/>
      <c r="AN2" s="122" t="s">
        <v>478</v>
      </c>
      <c r="AO2" s="120" t="s">
        <v>456</v>
      </c>
      <c r="AP2" s="120"/>
      <c r="AQ2" s="120"/>
      <c r="AR2" s="120"/>
      <c r="AS2" s="121"/>
      <c r="AT2" s="123" t="s">
        <v>1121</v>
      </c>
    </row>
    <row r="3" spans="2:46" ht="12" customHeight="1" x14ac:dyDescent="0.25">
      <c r="B3" s="110" t="s">
        <v>62</v>
      </c>
      <c r="C3" s="111" t="s">
        <v>63</v>
      </c>
      <c r="D3" s="111" t="s">
        <v>64</v>
      </c>
      <c r="E3" s="111" t="s">
        <v>65</v>
      </c>
      <c r="F3" s="111" t="s">
        <v>66</v>
      </c>
      <c r="G3" s="111" t="s">
        <v>68</v>
      </c>
      <c r="H3" s="111" t="s">
        <v>69</v>
      </c>
      <c r="I3" s="111" t="s">
        <v>724</v>
      </c>
      <c r="J3" s="111" t="s">
        <v>1083</v>
      </c>
      <c r="K3" s="111" t="s">
        <v>1084</v>
      </c>
      <c r="L3" s="111" t="s">
        <v>1085</v>
      </c>
      <c r="M3" s="111" t="s">
        <v>1086</v>
      </c>
      <c r="N3" s="111" t="s">
        <v>1087</v>
      </c>
      <c r="O3" s="111" t="s">
        <v>1088</v>
      </c>
      <c r="P3" s="111" t="s">
        <v>1089</v>
      </c>
      <c r="Q3" s="111" t="s">
        <v>1090</v>
      </c>
      <c r="R3" s="111" t="s">
        <v>1091</v>
      </c>
      <c r="S3" s="111" t="s">
        <v>1092</v>
      </c>
      <c r="T3" s="111" t="s">
        <v>1093</v>
      </c>
      <c r="U3" s="111" t="s">
        <v>1094</v>
      </c>
      <c r="V3" s="111" t="s">
        <v>1095</v>
      </c>
      <c r="W3" s="111" t="s">
        <v>1096</v>
      </c>
      <c r="X3" s="111" t="s">
        <v>1097</v>
      </c>
      <c r="Y3" s="111" t="s">
        <v>1098</v>
      </c>
      <c r="Z3" s="111" t="s">
        <v>1099</v>
      </c>
      <c r="AA3" s="111" t="s">
        <v>1100</v>
      </c>
      <c r="AB3" s="111" t="s">
        <v>1101</v>
      </c>
      <c r="AC3" s="111" t="s">
        <v>1102</v>
      </c>
      <c r="AD3" s="111" t="s">
        <v>1103</v>
      </c>
      <c r="AE3" s="111" t="s">
        <v>1104</v>
      </c>
      <c r="AF3" s="111" t="s">
        <v>1105</v>
      </c>
      <c r="AG3" s="111" t="s">
        <v>1106</v>
      </c>
      <c r="AH3" s="111" t="s">
        <v>1107</v>
      </c>
      <c r="AI3" s="111" t="s">
        <v>1108</v>
      </c>
      <c r="AJ3" s="111" t="s">
        <v>1109</v>
      </c>
      <c r="AK3" s="111" t="s">
        <v>1110</v>
      </c>
      <c r="AL3" s="111" t="s">
        <v>1111</v>
      </c>
      <c r="AM3" s="111" t="s">
        <v>1112</v>
      </c>
      <c r="AN3" s="111" t="s">
        <v>1113</v>
      </c>
      <c r="AO3" s="111" t="s">
        <v>1114</v>
      </c>
      <c r="AP3" s="111" t="s">
        <v>1115</v>
      </c>
      <c r="AQ3" s="111" t="s">
        <v>1116</v>
      </c>
      <c r="AR3" s="111" t="s">
        <v>1117</v>
      </c>
      <c r="AS3" s="111" t="s">
        <v>1118</v>
      </c>
      <c r="AT3" s="112" t="s">
        <v>1119</v>
      </c>
    </row>
    <row r="4" spans="2:46" ht="12" customHeight="1" x14ac:dyDescent="0.25">
      <c r="B4" s="113" t="s">
        <v>35</v>
      </c>
      <c r="C4" s="114" t="s">
        <v>36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72</v>
      </c>
      <c r="I4" s="114" t="s">
        <v>25</v>
      </c>
      <c r="J4" s="114">
        <v>6.96</v>
      </c>
      <c r="K4" s="114">
        <v>0</v>
      </c>
      <c r="L4" s="114">
        <v>0</v>
      </c>
      <c r="M4" s="114">
        <v>0.485564034082412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6.4711559863955799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36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107.85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28.6072111808245</v>
      </c>
      <c r="Y5" s="114">
        <v>0</v>
      </c>
      <c r="Z5" s="114">
        <v>0</v>
      </c>
      <c r="AA5" s="114">
        <v>79.240535282564096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36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72</v>
      </c>
      <c r="I6" s="114" t="s">
        <v>25</v>
      </c>
      <c r="J6" s="114">
        <v>6.96</v>
      </c>
      <c r="K6" s="114">
        <v>0</v>
      </c>
      <c r="L6" s="114">
        <v>0</v>
      </c>
      <c r="M6" s="114">
        <v>0.485564034082412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6.4711559863955799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36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38.15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16.466999681179399</v>
      </c>
      <c r="Y7" s="114">
        <v>0</v>
      </c>
      <c r="Z7" s="114">
        <v>0</v>
      </c>
      <c r="AA7" s="114">
        <v>21.687889253709098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36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72</v>
      </c>
      <c r="I8" s="114" t="s">
        <v>25</v>
      </c>
      <c r="J8" s="114">
        <v>97.74</v>
      </c>
      <c r="K8" s="114">
        <v>147.06</v>
      </c>
      <c r="L8" s="114">
        <v>0</v>
      </c>
      <c r="M8" s="114">
        <v>0.485564034082412</v>
      </c>
      <c r="N8" s="114">
        <v>0</v>
      </c>
      <c r="O8" s="114">
        <v>0</v>
      </c>
      <c r="P8" s="114">
        <v>0</v>
      </c>
      <c r="Q8" s="114">
        <v>76.426001510044401</v>
      </c>
      <c r="R8" s="114">
        <v>14.361246940770799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6.4711559863955799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147.059153646705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36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107.85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28.6072111808245</v>
      </c>
      <c r="Y9" s="114">
        <v>0</v>
      </c>
      <c r="Z9" s="114">
        <v>0</v>
      </c>
      <c r="AA9" s="114">
        <v>79.240535282564096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36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72</v>
      </c>
      <c r="I10" s="114" t="s">
        <v>25</v>
      </c>
      <c r="J10" s="114">
        <v>97.74</v>
      </c>
      <c r="K10" s="114">
        <v>147.06</v>
      </c>
      <c r="L10" s="114">
        <v>0</v>
      </c>
      <c r="M10" s="114">
        <v>0.485564034082412</v>
      </c>
      <c r="N10" s="114">
        <v>0</v>
      </c>
      <c r="O10" s="114">
        <v>0</v>
      </c>
      <c r="P10" s="114">
        <v>0</v>
      </c>
      <c r="Q10" s="114">
        <v>76.426001510044401</v>
      </c>
      <c r="R10" s="114">
        <v>14.361246940770799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6.4711559863955799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147.059153646705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36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38.15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16.466999681179399</v>
      </c>
      <c r="Y11" s="114">
        <v>0</v>
      </c>
      <c r="Z11" s="114">
        <v>0</v>
      </c>
      <c r="AA11" s="114">
        <v>21.687889253709098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12.12</v>
      </c>
      <c r="K12" s="114">
        <v>0</v>
      </c>
      <c r="L12" s="114">
        <v>0</v>
      </c>
      <c r="M12" s="114">
        <v>1.2048129352781999E-2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12.104599275953699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39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72</v>
      </c>
      <c r="I13" s="114" t="s">
        <v>25</v>
      </c>
      <c r="J13" s="114">
        <v>2601.0700000000002</v>
      </c>
      <c r="K13" s="114">
        <v>0</v>
      </c>
      <c r="L13" s="114">
        <v>0</v>
      </c>
      <c r="M13" s="114">
        <v>0.485564034082412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688.37939738644695</v>
      </c>
      <c r="Y13" s="114">
        <v>0</v>
      </c>
      <c r="Z13" s="114">
        <v>0</v>
      </c>
      <c r="AA13" s="114">
        <v>1905.73353435843</v>
      </c>
      <c r="AB13" s="114">
        <v>0</v>
      </c>
      <c r="AC13" s="114">
        <v>0</v>
      </c>
      <c r="AD13" s="114">
        <v>0</v>
      </c>
      <c r="AE13" s="114">
        <v>6.4711559863955799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39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38.15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16.466999681179399</v>
      </c>
      <c r="Y14" s="114">
        <v>0</v>
      </c>
      <c r="Z14" s="114">
        <v>0</v>
      </c>
      <c r="AA14" s="114">
        <v>21.687889253709098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39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72</v>
      </c>
      <c r="I15" s="114" t="s">
        <v>25</v>
      </c>
      <c r="J15" s="114">
        <v>6.96</v>
      </c>
      <c r="K15" s="114">
        <v>0</v>
      </c>
      <c r="L15" s="114">
        <v>0</v>
      </c>
      <c r="M15" s="114">
        <v>0.485564034082412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6.4711559863955799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39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72</v>
      </c>
      <c r="I16" s="114" t="s">
        <v>25</v>
      </c>
      <c r="J16" s="114">
        <v>2691.86</v>
      </c>
      <c r="K16" s="114">
        <v>147.06</v>
      </c>
      <c r="L16" s="114">
        <v>0</v>
      </c>
      <c r="M16" s="114">
        <v>0.485564034082412</v>
      </c>
      <c r="N16" s="114">
        <v>0</v>
      </c>
      <c r="O16" s="114">
        <v>0</v>
      </c>
      <c r="P16" s="114">
        <v>0</v>
      </c>
      <c r="Q16" s="114">
        <v>76.426001510044401</v>
      </c>
      <c r="R16" s="114">
        <v>14.361246940770799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688.37939738644695</v>
      </c>
      <c r="Y16" s="114">
        <v>0</v>
      </c>
      <c r="Z16" s="114">
        <v>0</v>
      </c>
      <c r="AA16" s="114">
        <v>1905.73353435843</v>
      </c>
      <c r="AB16" s="114">
        <v>0</v>
      </c>
      <c r="AC16" s="114">
        <v>0</v>
      </c>
      <c r="AD16" s="114">
        <v>0</v>
      </c>
      <c r="AE16" s="114">
        <v>6.4711559863955799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147.059153646705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39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38.15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16.466999681179399</v>
      </c>
      <c r="Y17" s="114">
        <v>0</v>
      </c>
      <c r="Z17" s="114">
        <v>0</v>
      </c>
      <c r="AA17" s="114">
        <v>21.687889253709098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39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72</v>
      </c>
      <c r="I18" s="114" t="s">
        <v>25</v>
      </c>
      <c r="J18" s="114">
        <v>97.74</v>
      </c>
      <c r="K18" s="114">
        <v>147.06</v>
      </c>
      <c r="L18" s="114">
        <v>0</v>
      </c>
      <c r="M18" s="114">
        <v>0.485564034082412</v>
      </c>
      <c r="N18" s="114">
        <v>0</v>
      </c>
      <c r="O18" s="114">
        <v>0</v>
      </c>
      <c r="P18" s="114">
        <v>0</v>
      </c>
      <c r="Q18" s="114">
        <v>76.426001510044401</v>
      </c>
      <c r="R18" s="114">
        <v>14.361246940770799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6.4711559863955799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147.059153646705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6.96</v>
      </c>
      <c r="K19" s="114">
        <v>0</v>
      </c>
      <c r="L19" s="114">
        <v>0</v>
      </c>
      <c r="M19" s="114">
        <v>6.8993561250974E-3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6.9531923832806504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20.7</v>
      </c>
      <c r="K20" s="114">
        <v>0</v>
      </c>
      <c r="L20" s="114">
        <v>0</v>
      </c>
      <c r="M20" s="114">
        <v>6.8993561250974E-3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20.6962293736701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41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72</v>
      </c>
      <c r="I21" s="114" t="s">
        <v>25</v>
      </c>
      <c r="J21" s="114">
        <v>1438.47</v>
      </c>
      <c r="K21" s="114">
        <v>147.06</v>
      </c>
      <c r="L21" s="114">
        <v>0</v>
      </c>
      <c r="M21" s="114">
        <v>1.7217149914898899</v>
      </c>
      <c r="N21" s="114">
        <v>0</v>
      </c>
      <c r="O21" s="114">
        <v>0</v>
      </c>
      <c r="P21" s="114">
        <v>0</v>
      </c>
      <c r="Q21" s="114">
        <v>90.983335131005205</v>
      </c>
      <c r="R21" s="114">
        <v>14.361246940770799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267.25268360118201</v>
      </c>
      <c r="Y21" s="114">
        <v>0</v>
      </c>
      <c r="Z21" s="114">
        <v>0</v>
      </c>
      <c r="AA21" s="114">
        <v>1051.22990416986</v>
      </c>
      <c r="AB21" s="114">
        <v>0</v>
      </c>
      <c r="AC21" s="114">
        <v>0</v>
      </c>
      <c r="AD21" s="114">
        <v>0</v>
      </c>
      <c r="AE21" s="114">
        <v>12.9167320961384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147.059153646705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41</v>
      </c>
      <c r="D22" s="114" t="s">
        <v>24</v>
      </c>
      <c r="E22" s="114" t="s">
        <v>24</v>
      </c>
      <c r="F22" s="114" t="s">
        <v>25</v>
      </c>
      <c r="G22" s="114" t="s">
        <v>42</v>
      </c>
      <c r="H22" s="114" t="s">
        <v>72</v>
      </c>
      <c r="I22" s="114" t="s">
        <v>25</v>
      </c>
      <c r="J22" s="114">
        <v>911.11</v>
      </c>
      <c r="K22" s="114">
        <v>147.06</v>
      </c>
      <c r="L22" s="114">
        <v>0</v>
      </c>
      <c r="M22" s="114">
        <v>1.7217149914898899</v>
      </c>
      <c r="N22" s="114">
        <v>0</v>
      </c>
      <c r="O22" s="114">
        <v>0</v>
      </c>
      <c r="P22" s="114">
        <v>0</v>
      </c>
      <c r="Q22" s="114">
        <v>90.983335131005205</v>
      </c>
      <c r="R22" s="114">
        <v>14.361246940770799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160.385216282508</v>
      </c>
      <c r="Y22" s="114">
        <v>0</v>
      </c>
      <c r="Z22" s="114">
        <v>0</v>
      </c>
      <c r="AA22" s="114">
        <v>630.73800863461895</v>
      </c>
      <c r="AB22" s="114">
        <v>0</v>
      </c>
      <c r="AC22" s="114">
        <v>0</v>
      </c>
      <c r="AD22" s="114">
        <v>0</v>
      </c>
      <c r="AE22" s="114">
        <v>12.9167320961384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147.059153646705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41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72</v>
      </c>
      <c r="I23" s="114" t="s">
        <v>25</v>
      </c>
      <c r="J23" s="114">
        <v>383.7</v>
      </c>
      <c r="K23" s="114">
        <v>147.06</v>
      </c>
      <c r="L23" s="114">
        <v>0</v>
      </c>
      <c r="M23" s="114">
        <v>1.7217149914898899</v>
      </c>
      <c r="N23" s="114">
        <v>0</v>
      </c>
      <c r="O23" s="114">
        <v>0</v>
      </c>
      <c r="P23" s="114">
        <v>0</v>
      </c>
      <c r="Q23" s="114">
        <v>90.983335131005205</v>
      </c>
      <c r="R23" s="114">
        <v>14.361246940770799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53.475741311585203</v>
      </c>
      <c r="Y23" s="114">
        <v>0</v>
      </c>
      <c r="Z23" s="114">
        <v>0</v>
      </c>
      <c r="AA23" s="114">
        <v>210.24578243586299</v>
      </c>
      <c r="AB23" s="114">
        <v>0</v>
      </c>
      <c r="AC23" s="114">
        <v>0</v>
      </c>
      <c r="AD23" s="114">
        <v>0</v>
      </c>
      <c r="AE23" s="114">
        <v>12.9167320961384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147.059153646705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1120</v>
      </c>
      <c r="F24" s="114" t="s">
        <v>25</v>
      </c>
      <c r="G24" s="114" t="s">
        <v>25</v>
      </c>
      <c r="H24" s="114" t="s">
        <v>72</v>
      </c>
      <c r="I24" s="114" t="s">
        <v>25</v>
      </c>
      <c r="J24" s="114">
        <v>502.99</v>
      </c>
      <c r="K24" s="114">
        <v>147.06</v>
      </c>
      <c r="L24" s="114">
        <v>0</v>
      </c>
      <c r="M24" s="114">
        <v>1.7217149914898899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99.012036348316101</v>
      </c>
      <c r="Y24" s="114">
        <v>0</v>
      </c>
      <c r="Z24" s="114">
        <v>0</v>
      </c>
      <c r="AA24" s="114">
        <v>389.34438445820598</v>
      </c>
      <c r="AB24" s="114">
        <v>0</v>
      </c>
      <c r="AC24" s="114">
        <v>0</v>
      </c>
      <c r="AD24" s="114">
        <v>0</v>
      </c>
      <c r="AE24" s="114">
        <v>12.9167320961384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147.059153646705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72</v>
      </c>
      <c r="I25" s="114" t="s">
        <v>25</v>
      </c>
      <c r="J25" s="114">
        <v>608.34</v>
      </c>
      <c r="K25" s="114">
        <v>147.06</v>
      </c>
      <c r="L25" s="114">
        <v>0</v>
      </c>
      <c r="M25" s="114">
        <v>1.7217149914898899</v>
      </c>
      <c r="N25" s="114">
        <v>0</v>
      </c>
      <c r="O25" s="114">
        <v>0</v>
      </c>
      <c r="P25" s="114">
        <v>0</v>
      </c>
      <c r="Q25" s="114">
        <v>90.983335131005205</v>
      </c>
      <c r="R25" s="114">
        <v>14.361246940770799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99.012036348316101</v>
      </c>
      <c r="Y25" s="114">
        <v>0</v>
      </c>
      <c r="Z25" s="114">
        <v>0</v>
      </c>
      <c r="AA25" s="114">
        <v>389.34438445820598</v>
      </c>
      <c r="AB25" s="114">
        <v>0</v>
      </c>
      <c r="AC25" s="114">
        <v>0</v>
      </c>
      <c r="AD25" s="114">
        <v>0</v>
      </c>
      <c r="AE25" s="114">
        <v>12.9167320961384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147.059153646705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1120</v>
      </c>
      <c r="F26" s="114" t="s">
        <v>25</v>
      </c>
      <c r="G26" s="114" t="s">
        <v>25</v>
      </c>
      <c r="H26" s="114" t="s">
        <v>72</v>
      </c>
      <c r="I26" s="114" t="s">
        <v>25</v>
      </c>
      <c r="J26" s="114">
        <v>502.99</v>
      </c>
      <c r="K26" s="114">
        <v>147.06</v>
      </c>
      <c r="L26" s="114">
        <v>0</v>
      </c>
      <c r="M26" s="114">
        <v>1.7217149914898899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99.012036348316101</v>
      </c>
      <c r="Y26" s="114">
        <v>0</v>
      </c>
      <c r="Z26" s="114">
        <v>0</v>
      </c>
      <c r="AA26" s="114">
        <v>389.34438445820598</v>
      </c>
      <c r="AB26" s="114">
        <v>0</v>
      </c>
      <c r="AC26" s="114">
        <v>0</v>
      </c>
      <c r="AD26" s="114">
        <v>0</v>
      </c>
      <c r="AE26" s="114">
        <v>12.9167320961384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147.059153646705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72</v>
      </c>
      <c r="I27" s="114" t="s">
        <v>25</v>
      </c>
      <c r="J27" s="114">
        <v>608.34</v>
      </c>
      <c r="K27" s="114">
        <v>147.06</v>
      </c>
      <c r="L27" s="114">
        <v>0</v>
      </c>
      <c r="M27" s="114">
        <v>1.7217149914898899</v>
      </c>
      <c r="N27" s="114">
        <v>0</v>
      </c>
      <c r="O27" s="114">
        <v>0</v>
      </c>
      <c r="P27" s="114">
        <v>0</v>
      </c>
      <c r="Q27" s="114">
        <v>90.983335131005205</v>
      </c>
      <c r="R27" s="114">
        <v>14.361246940770799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99.012036348316101</v>
      </c>
      <c r="Y27" s="114">
        <v>0</v>
      </c>
      <c r="Z27" s="114">
        <v>0</v>
      </c>
      <c r="AA27" s="114">
        <v>389.34438445820598</v>
      </c>
      <c r="AB27" s="114">
        <v>0</v>
      </c>
      <c r="AC27" s="114">
        <v>0</v>
      </c>
      <c r="AD27" s="114">
        <v>0</v>
      </c>
      <c r="AE27" s="114">
        <v>12.9167320961384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147.059153646705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43</v>
      </c>
      <c r="C28" s="114" t="s">
        <v>41</v>
      </c>
      <c r="D28" s="114" t="s">
        <v>44</v>
      </c>
      <c r="E28" s="114" t="s">
        <v>88</v>
      </c>
      <c r="F28" s="114" t="s">
        <v>25</v>
      </c>
      <c r="G28" s="114" t="s">
        <v>37</v>
      </c>
      <c r="H28" s="114" t="s">
        <v>72</v>
      </c>
      <c r="I28" s="114" t="s">
        <v>25</v>
      </c>
      <c r="J28" s="114">
        <v>1466.95</v>
      </c>
      <c r="K28" s="114">
        <v>138.24</v>
      </c>
      <c r="L28" s="114">
        <v>0</v>
      </c>
      <c r="M28" s="114">
        <v>1.6184120920005001</v>
      </c>
      <c r="N28" s="114">
        <v>0</v>
      </c>
      <c r="O28" s="114">
        <v>0</v>
      </c>
      <c r="P28" s="114">
        <v>0</v>
      </c>
      <c r="Q28" s="114">
        <v>85.5243350231449</v>
      </c>
      <c r="R28" s="114">
        <v>13.499572124324599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274.51496652179998</v>
      </c>
      <c r="Y28" s="114">
        <v>0</v>
      </c>
      <c r="Z28" s="114">
        <v>0</v>
      </c>
      <c r="AA28" s="114">
        <v>1079.65204026735</v>
      </c>
      <c r="AB28" s="114">
        <v>0</v>
      </c>
      <c r="AC28" s="114">
        <v>0</v>
      </c>
      <c r="AD28" s="114">
        <v>0</v>
      </c>
      <c r="AE28" s="114">
        <v>12.141728170370101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138.23560442790301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43</v>
      </c>
      <c r="C29" s="114" t="s">
        <v>41</v>
      </c>
      <c r="D29" s="114" t="s">
        <v>44</v>
      </c>
      <c r="E29" s="114" t="s">
        <v>88</v>
      </c>
      <c r="F29" s="114" t="s">
        <v>25</v>
      </c>
      <c r="G29" s="114" t="s">
        <v>42</v>
      </c>
      <c r="H29" s="114" t="s">
        <v>72</v>
      </c>
      <c r="I29" s="114" t="s">
        <v>25</v>
      </c>
      <c r="J29" s="114">
        <v>925.24</v>
      </c>
      <c r="K29" s="114">
        <v>138.24</v>
      </c>
      <c r="L29" s="114">
        <v>0</v>
      </c>
      <c r="M29" s="114">
        <v>1.6184120920005001</v>
      </c>
      <c r="N29" s="114">
        <v>0</v>
      </c>
      <c r="O29" s="114">
        <v>0</v>
      </c>
      <c r="P29" s="114">
        <v>0</v>
      </c>
      <c r="Q29" s="114">
        <v>85.5243350231449</v>
      </c>
      <c r="R29" s="114">
        <v>13.499572124324599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164.661595281345</v>
      </c>
      <c r="Y29" s="114">
        <v>0</v>
      </c>
      <c r="Z29" s="114">
        <v>0</v>
      </c>
      <c r="AA29" s="114">
        <v>647.79141065463</v>
      </c>
      <c r="AB29" s="114">
        <v>0</v>
      </c>
      <c r="AC29" s="114">
        <v>0</v>
      </c>
      <c r="AD29" s="114">
        <v>0</v>
      </c>
      <c r="AE29" s="114">
        <v>12.141728170370101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138.23560442790301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43</v>
      </c>
      <c r="C30" s="114" t="s">
        <v>41</v>
      </c>
      <c r="D30" s="114" t="s">
        <v>44</v>
      </c>
      <c r="E30" s="114" t="s">
        <v>88</v>
      </c>
      <c r="F30" s="114" t="s">
        <v>25</v>
      </c>
      <c r="G30" s="114" t="s">
        <v>38</v>
      </c>
      <c r="H30" s="114" t="s">
        <v>72</v>
      </c>
      <c r="I30" s="114" t="s">
        <v>25</v>
      </c>
      <c r="J30" s="114">
        <v>383.64</v>
      </c>
      <c r="K30" s="114">
        <v>138.24</v>
      </c>
      <c r="L30" s="114">
        <v>0</v>
      </c>
      <c r="M30" s="114">
        <v>1.6184120920005001</v>
      </c>
      <c r="N30" s="114">
        <v>0</v>
      </c>
      <c r="O30" s="114">
        <v>0</v>
      </c>
      <c r="P30" s="114">
        <v>0</v>
      </c>
      <c r="Q30" s="114">
        <v>85.5243350231449</v>
      </c>
      <c r="R30" s="114">
        <v>13.499572124324599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54.9266856202279</v>
      </c>
      <c r="Y30" s="114">
        <v>0</v>
      </c>
      <c r="Z30" s="114">
        <v>0</v>
      </c>
      <c r="AA30" s="114">
        <v>215.93047021820999</v>
      </c>
      <c r="AB30" s="114">
        <v>0</v>
      </c>
      <c r="AC30" s="114">
        <v>0</v>
      </c>
      <c r="AD30" s="114">
        <v>0</v>
      </c>
      <c r="AE30" s="114">
        <v>12.141728170370101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138.23560442790301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43</v>
      </c>
      <c r="C31" s="114" t="s">
        <v>41</v>
      </c>
      <c r="D31" s="114" t="s">
        <v>44</v>
      </c>
      <c r="E31" s="114" t="s">
        <v>25</v>
      </c>
      <c r="F31" s="114" t="s">
        <v>25</v>
      </c>
      <c r="G31" s="114" t="s">
        <v>37</v>
      </c>
      <c r="H31" s="114" t="s">
        <v>72</v>
      </c>
      <c r="I31" s="114" t="s">
        <v>25</v>
      </c>
      <c r="J31" s="114">
        <v>1466.95</v>
      </c>
      <c r="K31" s="114">
        <v>138.24</v>
      </c>
      <c r="L31" s="114">
        <v>0</v>
      </c>
      <c r="M31" s="114">
        <v>1.6184120920005001</v>
      </c>
      <c r="N31" s="114">
        <v>0</v>
      </c>
      <c r="O31" s="114">
        <v>0</v>
      </c>
      <c r="P31" s="114">
        <v>0</v>
      </c>
      <c r="Q31" s="114">
        <v>85.5243350231449</v>
      </c>
      <c r="R31" s="114">
        <v>13.499572124324599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274.51496652179998</v>
      </c>
      <c r="Y31" s="114">
        <v>0</v>
      </c>
      <c r="Z31" s="114">
        <v>0</v>
      </c>
      <c r="AA31" s="114">
        <v>1079.65204026735</v>
      </c>
      <c r="AB31" s="114">
        <v>0</v>
      </c>
      <c r="AC31" s="114">
        <v>0</v>
      </c>
      <c r="AD31" s="114">
        <v>0</v>
      </c>
      <c r="AE31" s="114">
        <v>12.141728170370101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138.23560442790301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43</v>
      </c>
      <c r="C32" s="114" t="s">
        <v>41</v>
      </c>
      <c r="D32" s="114" t="s">
        <v>44</v>
      </c>
      <c r="E32" s="114" t="s">
        <v>25</v>
      </c>
      <c r="F32" s="114" t="s">
        <v>25</v>
      </c>
      <c r="G32" s="114" t="s">
        <v>42</v>
      </c>
      <c r="H32" s="114" t="s">
        <v>72</v>
      </c>
      <c r="I32" s="114" t="s">
        <v>25</v>
      </c>
      <c r="J32" s="114">
        <v>925.24</v>
      </c>
      <c r="K32" s="114">
        <v>138.24</v>
      </c>
      <c r="L32" s="114">
        <v>0</v>
      </c>
      <c r="M32" s="114">
        <v>1.6184120920005001</v>
      </c>
      <c r="N32" s="114">
        <v>0</v>
      </c>
      <c r="O32" s="114">
        <v>0</v>
      </c>
      <c r="P32" s="114">
        <v>0</v>
      </c>
      <c r="Q32" s="114">
        <v>85.5243350231449</v>
      </c>
      <c r="R32" s="114">
        <v>13.499572124324599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164.661595281345</v>
      </c>
      <c r="Y32" s="114">
        <v>0</v>
      </c>
      <c r="Z32" s="114">
        <v>0</v>
      </c>
      <c r="AA32" s="114">
        <v>647.79141065463</v>
      </c>
      <c r="AB32" s="114">
        <v>0</v>
      </c>
      <c r="AC32" s="114">
        <v>0</v>
      </c>
      <c r="AD32" s="114">
        <v>0</v>
      </c>
      <c r="AE32" s="114">
        <v>12.141728170370101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138.23560442790301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43</v>
      </c>
      <c r="C33" s="114" t="s">
        <v>41</v>
      </c>
      <c r="D33" s="114" t="s">
        <v>44</v>
      </c>
      <c r="E33" s="114" t="s">
        <v>25</v>
      </c>
      <c r="F33" s="114" t="s">
        <v>25</v>
      </c>
      <c r="G33" s="114" t="s">
        <v>38</v>
      </c>
      <c r="H33" s="114" t="s">
        <v>72</v>
      </c>
      <c r="I33" s="114" t="s">
        <v>25</v>
      </c>
      <c r="J33" s="114">
        <v>383.64</v>
      </c>
      <c r="K33" s="114">
        <v>138.24</v>
      </c>
      <c r="L33" s="114">
        <v>0</v>
      </c>
      <c r="M33" s="114">
        <v>1.6184120920005001</v>
      </c>
      <c r="N33" s="114">
        <v>0</v>
      </c>
      <c r="O33" s="114">
        <v>0</v>
      </c>
      <c r="P33" s="114">
        <v>0</v>
      </c>
      <c r="Q33" s="114">
        <v>85.5243350231449</v>
      </c>
      <c r="R33" s="114">
        <v>13.499572124324599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54.9266856202279</v>
      </c>
      <c r="Y33" s="114">
        <v>0</v>
      </c>
      <c r="Z33" s="114">
        <v>0</v>
      </c>
      <c r="AA33" s="114">
        <v>215.93047021820999</v>
      </c>
      <c r="AB33" s="114">
        <v>0</v>
      </c>
      <c r="AC33" s="114">
        <v>0</v>
      </c>
      <c r="AD33" s="114">
        <v>0</v>
      </c>
      <c r="AE33" s="114">
        <v>12.141728170370101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138.23560442790301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43</v>
      </c>
      <c r="C34" s="114" t="s">
        <v>41</v>
      </c>
      <c r="D34" s="114" t="s">
        <v>44</v>
      </c>
      <c r="E34" s="114" t="s">
        <v>89</v>
      </c>
      <c r="F34" s="114" t="s">
        <v>25</v>
      </c>
      <c r="G34" s="114" t="s">
        <v>37</v>
      </c>
      <c r="H34" s="114" t="s">
        <v>72</v>
      </c>
      <c r="I34" s="114" t="s">
        <v>25</v>
      </c>
      <c r="J34" s="114">
        <v>1435.74</v>
      </c>
      <c r="K34" s="114">
        <v>135.29</v>
      </c>
      <c r="L34" s="114">
        <v>0</v>
      </c>
      <c r="M34" s="114">
        <v>1.5839777921706999</v>
      </c>
      <c r="N34" s="114">
        <v>0</v>
      </c>
      <c r="O34" s="114">
        <v>0</v>
      </c>
      <c r="P34" s="114">
        <v>0</v>
      </c>
      <c r="Q34" s="114">
        <v>83.704668320524803</v>
      </c>
      <c r="R34" s="114">
        <v>13.2123471855092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268.67422255325101</v>
      </c>
      <c r="Y34" s="114">
        <v>0</v>
      </c>
      <c r="Z34" s="114">
        <v>0</v>
      </c>
      <c r="AA34" s="114">
        <v>1056.6807202616601</v>
      </c>
      <c r="AB34" s="114">
        <v>0</v>
      </c>
      <c r="AC34" s="114">
        <v>0</v>
      </c>
      <c r="AD34" s="114">
        <v>0</v>
      </c>
      <c r="AE34" s="114">
        <v>11.8833935284473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135.29442135496899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43</v>
      </c>
      <c r="C35" s="114" t="s">
        <v>41</v>
      </c>
      <c r="D35" s="114" t="s">
        <v>44</v>
      </c>
      <c r="E35" s="114" t="s">
        <v>89</v>
      </c>
      <c r="F35" s="114" t="s">
        <v>25</v>
      </c>
      <c r="G35" s="114" t="s">
        <v>42</v>
      </c>
      <c r="H35" s="114" t="s">
        <v>72</v>
      </c>
      <c r="I35" s="114" t="s">
        <v>25</v>
      </c>
      <c r="J35" s="114">
        <v>905.55</v>
      </c>
      <c r="K35" s="114">
        <v>135.29</v>
      </c>
      <c r="L35" s="114">
        <v>0</v>
      </c>
      <c r="M35" s="114">
        <v>1.5839777921706999</v>
      </c>
      <c r="N35" s="114">
        <v>0</v>
      </c>
      <c r="O35" s="114">
        <v>0</v>
      </c>
      <c r="P35" s="114">
        <v>0</v>
      </c>
      <c r="Q35" s="114">
        <v>83.704668320524803</v>
      </c>
      <c r="R35" s="114">
        <v>13.2123471855092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161.15815708386901</v>
      </c>
      <c r="Y35" s="114">
        <v>0</v>
      </c>
      <c r="Z35" s="114">
        <v>0</v>
      </c>
      <c r="AA35" s="114">
        <v>634.00861468325502</v>
      </c>
      <c r="AB35" s="114">
        <v>0</v>
      </c>
      <c r="AC35" s="114">
        <v>0</v>
      </c>
      <c r="AD35" s="114">
        <v>0</v>
      </c>
      <c r="AE35" s="114">
        <v>11.8833935284473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135.29442135496899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43</v>
      </c>
      <c r="C36" s="114" t="s">
        <v>41</v>
      </c>
      <c r="D36" s="114" t="s">
        <v>44</v>
      </c>
      <c r="E36" s="114" t="s">
        <v>89</v>
      </c>
      <c r="F36" s="114" t="s">
        <v>25</v>
      </c>
      <c r="G36" s="114" t="s">
        <v>38</v>
      </c>
      <c r="H36" s="114" t="s">
        <v>72</v>
      </c>
      <c r="I36" s="114" t="s">
        <v>25</v>
      </c>
      <c r="J36" s="114">
        <v>375.48</v>
      </c>
      <c r="K36" s="114">
        <v>135.29</v>
      </c>
      <c r="L36" s="114">
        <v>0</v>
      </c>
      <c r="M36" s="114">
        <v>1.5839777921706999</v>
      </c>
      <c r="N36" s="114">
        <v>0</v>
      </c>
      <c r="O36" s="114">
        <v>0</v>
      </c>
      <c r="P36" s="114">
        <v>0</v>
      </c>
      <c r="Q36" s="114">
        <v>83.704668320524803</v>
      </c>
      <c r="R36" s="114">
        <v>13.2123471855092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53.758032734691099</v>
      </c>
      <c r="Y36" s="114">
        <v>0</v>
      </c>
      <c r="Z36" s="114">
        <v>0</v>
      </c>
      <c r="AA36" s="114">
        <v>211.33620489441799</v>
      </c>
      <c r="AB36" s="114">
        <v>0</v>
      </c>
      <c r="AC36" s="114">
        <v>0</v>
      </c>
      <c r="AD36" s="114">
        <v>0</v>
      </c>
      <c r="AE36" s="114">
        <v>11.8833935284473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135.29442135496899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43</v>
      </c>
      <c r="C37" s="114" t="s">
        <v>23</v>
      </c>
      <c r="D37" s="114" t="s">
        <v>44</v>
      </c>
      <c r="E37" s="114" t="s">
        <v>88</v>
      </c>
      <c r="F37" s="114" t="s">
        <v>25</v>
      </c>
      <c r="G37" s="114" t="s">
        <v>25</v>
      </c>
      <c r="H37" s="114" t="s">
        <v>72</v>
      </c>
      <c r="I37" s="114" t="s">
        <v>25</v>
      </c>
      <c r="J37" s="114">
        <v>571.84</v>
      </c>
      <c r="K37" s="114">
        <v>138.24</v>
      </c>
      <c r="L37" s="114">
        <v>0</v>
      </c>
      <c r="M37" s="114">
        <v>1.6184120920005001</v>
      </c>
      <c r="N37" s="114">
        <v>0</v>
      </c>
      <c r="O37" s="114">
        <v>0</v>
      </c>
      <c r="P37" s="114">
        <v>0</v>
      </c>
      <c r="Q37" s="114">
        <v>85.5243350231449</v>
      </c>
      <c r="R37" s="114">
        <v>13.499572124324599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93.0713141674171</v>
      </c>
      <c r="Y37" s="114">
        <v>0</v>
      </c>
      <c r="Z37" s="114">
        <v>0</v>
      </c>
      <c r="AA37" s="114">
        <v>365.98372139071398</v>
      </c>
      <c r="AB37" s="114">
        <v>0</v>
      </c>
      <c r="AC37" s="114">
        <v>0</v>
      </c>
      <c r="AD37" s="114">
        <v>0</v>
      </c>
      <c r="AE37" s="114">
        <v>12.141728170370101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138.23560442790301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43</v>
      </c>
      <c r="C38" s="114" t="s">
        <v>23</v>
      </c>
      <c r="D38" s="114" t="s">
        <v>44</v>
      </c>
      <c r="E38" s="114" t="s">
        <v>25</v>
      </c>
      <c r="F38" s="114" t="s">
        <v>25</v>
      </c>
      <c r="G38" s="114" t="s">
        <v>25</v>
      </c>
      <c r="H38" s="114" t="s">
        <v>72</v>
      </c>
      <c r="I38" s="114" t="s">
        <v>25</v>
      </c>
      <c r="J38" s="114">
        <v>571.84</v>
      </c>
      <c r="K38" s="114">
        <v>138.24</v>
      </c>
      <c r="L38" s="114">
        <v>0</v>
      </c>
      <c r="M38" s="114">
        <v>1.6184120920005001</v>
      </c>
      <c r="N38" s="114">
        <v>0</v>
      </c>
      <c r="O38" s="114">
        <v>0</v>
      </c>
      <c r="P38" s="114">
        <v>0</v>
      </c>
      <c r="Q38" s="114">
        <v>85.5243350231449</v>
      </c>
      <c r="R38" s="114">
        <v>13.499572124324599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93.0713141674171</v>
      </c>
      <c r="Y38" s="114">
        <v>0</v>
      </c>
      <c r="Z38" s="114">
        <v>0</v>
      </c>
      <c r="AA38" s="114">
        <v>365.98372139071398</v>
      </c>
      <c r="AB38" s="114">
        <v>0</v>
      </c>
      <c r="AC38" s="114">
        <v>0</v>
      </c>
      <c r="AD38" s="114">
        <v>0</v>
      </c>
      <c r="AE38" s="114">
        <v>12.141728170370101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138.23560442790301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43</v>
      </c>
      <c r="C39" s="114" t="s">
        <v>23</v>
      </c>
      <c r="D39" s="114" t="s">
        <v>44</v>
      </c>
      <c r="E39" s="114" t="s">
        <v>89</v>
      </c>
      <c r="F39" s="114" t="s">
        <v>25</v>
      </c>
      <c r="G39" s="114" t="s">
        <v>25</v>
      </c>
      <c r="H39" s="114" t="s">
        <v>72</v>
      </c>
      <c r="I39" s="114" t="s">
        <v>25</v>
      </c>
      <c r="J39" s="114">
        <v>559.66999999999996</v>
      </c>
      <c r="K39" s="114">
        <v>135.29</v>
      </c>
      <c r="L39" s="114">
        <v>0</v>
      </c>
      <c r="M39" s="114">
        <v>1.5839777921706999</v>
      </c>
      <c r="N39" s="114">
        <v>0</v>
      </c>
      <c r="O39" s="114">
        <v>0</v>
      </c>
      <c r="P39" s="114">
        <v>0</v>
      </c>
      <c r="Q39" s="114">
        <v>83.704668320524803</v>
      </c>
      <c r="R39" s="114">
        <v>13.2123471855092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91.091073440450799</v>
      </c>
      <c r="Y39" s="114">
        <v>0</v>
      </c>
      <c r="Z39" s="114">
        <v>0</v>
      </c>
      <c r="AA39" s="114">
        <v>358.19683370155002</v>
      </c>
      <c r="AB39" s="114">
        <v>0</v>
      </c>
      <c r="AC39" s="114">
        <v>0</v>
      </c>
      <c r="AD39" s="114">
        <v>0</v>
      </c>
      <c r="AE39" s="114">
        <v>11.8833935284473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135.29442135496899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43</v>
      </c>
      <c r="C40" s="114" t="s">
        <v>87</v>
      </c>
      <c r="D40" s="114" t="s">
        <v>44</v>
      </c>
      <c r="E40" s="114" t="s">
        <v>88</v>
      </c>
      <c r="F40" s="114" t="s">
        <v>25</v>
      </c>
      <c r="G40" s="114" t="s">
        <v>25</v>
      </c>
      <c r="H40" s="114" t="s">
        <v>72</v>
      </c>
      <c r="I40" s="114" t="s">
        <v>25</v>
      </c>
      <c r="J40" s="114">
        <v>571.84</v>
      </c>
      <c r="K40" s="114">
        <v>138.24</v>
      </c>
      <c r="L40" s="114">
        <v>0</v>
      </c>
      <c r="M40" s="114">
        <v>1.6184120920005001</v>
      </c>
      <c r="N40" s="114">
        <v>0</v>
      </c>
      <c r="O40" s="114">
        <v>0</v>
      </c>
      <c r="P40" s="114">
        <v>0</v>
      </c>
      <c r="Q40" s="114">
        <v>85.5243350231449</v>
      </c>
      <c r="R40" s="114">
        <v>13.499572124324599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93.0713141674171</v>
      </c>
      <c r="Y40" s="114">
        <v>0</v>
      </c>
      <c r="Z40" s="114">
        <v>0</v>
      </c>
      <c r="AA40" s="114">
        <v>365.98372139071398</v>
      </c>
      <c r="AB40" s="114">
        <v>0</v>
      </c>
      <c r="AC40" s="114">
        <v>0</v>
      </c>
      <c r="AD40" s="114">
        <v>0</v>
      </c>
      <c r="AE40" s="114">
        <v>12.141728170370101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138.23560442790301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43</v>
      </c>
      <c r="C41" s="114" t="s">
        <v>87</v>
      </c>
      <c r="D41" s="114" t="s">
        <v>44</v>
      </c>
      <c r="E41" s="114" t="s">
        <v>25</v>
      </c>
      <c r="F41" s="114" t="s">
        <v>25</v>
      </c>
      <c r="G41" s="114" t="s">
        <v>25</v>
      </c>
      <c r="H41" s="114" t="s">
        <v>72</v>
      </c>
      <c r="I41" s="114" t="s">
        <v>25</v>
      </c>
      <c r="J41" s="114">
        <v>571.84</v>
      </c>
      <c r="K41" s="114">
        <v>138.24</v>
      </c>
      <c r="L41" s="114">
        <v>0</v>
      </c>
      <c r="M41" s="114">
        <v>1.6184120920005001</v>
      </c>
      <c r="N41" s="114">
        <v>0</v>
      </c>
      <c r="O41" s="114">
        <v>0</v>
      </c>
      <c r="P41" s="114">
        <v>0</v>
      </c>
      <c r="Q41" s="114">
        <v>85.5243350231449</v>
      </c>
      <c r="R41" s="114">
        <v>13.499572124324599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93.0713141674171</v>
      </c>
      <c r="Y41" s="114">
        <v>0</v>
      </c>
      <c r="Z41" s="114">
        <v>0</v>
      </c>
      <c r="AA41" s="114">
        <v>365.98372139071398</v>
      </c>
      <c r="AB41" s="114">
        <v>0</v>
      </c>
      <c r="AC41" s="114">
        <v>0</v>
      </c>
      <c r="AD41" s="114">
        <v>0</v>
      </c>
      <c r="AE41" s="114">
        <v>12.141728170370101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138.23560442790301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43</v>
      </c>
      <c r="C42" s="114" t="s">
        <v>87</v>
      </c>
      <c r="D42" s="114" t="s">
        <v>44</v>
      </c>
      <c r="E42" s="114" t="s">
        <v>89</v>
      </c>
      <c r="F42" s="114" t="s">
        <v>25</v>
      </c>
      <c r="G42" s="114" t="s">
        <v>25</v>
      </c>
      <c r="H42" s="114" t="s">
        <v>72</v>
      </c>
      <c r="I42" s="114" t="s">
        <v>25</v>
      </c>
      <c r="J42" s="114">
        <v>559.66999999999996</v>
      </c>
      <c r="K42" s="114">
        <v>135.29</v>
      </c>
      <c r="L42" s="114">
        <v>0</v>
      </c>
      <c r="M42" s="114">
        <v>1.5839777921706999</v>
      </c>
      <c r="N42" s="114">
        <v>0</v>
      </c>
      <c r="O42" s="114">
        <v>0</v>
      </c>
      <c r="P42" s="114">
        <v>0</v>
      </c>
      <c r="Q42" s="114">
        <v>83.704668320524803</v>
      </c>
      <c r="R42" s="114">
        <v>13.2123471855092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91.091073440450799</v>
      </c>
      <c r="Y42" s="114">
        <v>0</v>
      </c>
      <c r="Z42" s="114">
        <v>0</v>
      </c>
      <c r="AA42" s="114">
        <v>358.19683370155002</v>
      </c>
      <c r="AB42" s="114">
        <v>0</v>
      </c>
      <c r="AC42" s="114">
        <v>0</v>
      </c>
      <c r="AD42" s="114">
        <v>0</v>
      </c>
      <c r="AE42" s="114">
        <v>11.8833935284473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135.29442135496899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41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72</v>
      </c>
      <c r="I43" s="114" t="s">
        <v>25</v>
      </c>
      <c r="J43" s="114">
        <v>1780.32</v>
      </c>
      <c r="K43" s="114">
        <v>147.06</v>
      </c>
      <c r="L43" s="114">
        <v>0</v>
      </c>
      <c r="M43" s="114">
        <v>1.7217149914898899</v>
      </c>
      <c r="N43" s="114">
        <v>0</v>
      </c>
      <c r="O43" s="114">
        <v>0</v>
      </c>
      <c r="P43" s="114">
        <v>0</v>
      </c>
      <c r="Q43" s="114">
        <v>90.983335131005205</v>
      </c>
      <c r="R43" s="114">
        <v>14.361246940770799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336.56530981022797</v>
      </c>
      <c r="Y43" s="114">
        <v>0</v>
      </c>
      <c r="Z43" s="114">
        <v>0</v>
      </c>
      <c r="AA43" s="114">
        <v>1323.77103942331</v>
      </c>
      <c r="AB43" s="114">
        <v>0</v>
      </c>
      <c r="AC43" s="114">
        <v>0</v>
      </c>
      <c r="AD43" s="114">
        <v>0</v>
      </c>
      <c r="AE43" s="114">
        <v>12.9167320961384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147.059153646705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41</v>
      </c>
      <c r="D44" s="114" t="s">
        <v>25</v>
      </c>
      <c r="E44" s="114" t="s">
        <v>25</v>
      </c>
      <c r="F44" s="114" t="s">
        <v>25</v>
      </c>
      <c r="G44" s="114" t="s">
        <v>42</v>
      </c>
      <c r="H44" s="114" t="s">
        <v>72</v>
      </c>
      <c r="I44" s="114" t="s">
        <v>25</v>
      </c>
      <c r="J44" s="114">
        <v>1116.18</v>
      </c>
      <c r="K44" s="114">
        <v>147.06</v>
      </c>
      <c r="L44" s="114">
        <v>0</v>
      </c>
      <c r="M44" s="114">
        <v>1.7217149914898899</v>
      </c>
      <c r="N44" s="114">
        <v>0</v>
      </c>
      <c r="O44" s="114">
        <v>0</v>
      </c>
      <c r="P44" s="114">
        <v>0</v>
      </c>
      <c r="Q44" s="114">
        <v>90.983335131005205</v>
      </c>
      <c r="R44" s="114">
        <v>14.361246940770799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201.930784355687</v>
      </c>
      <c r="Y44" s="114">
        <v>0</v>
      </c>
      <c r="Z44" s="114">
        <v>0</v>
      </c>
      <c r="AA44" s="114">
        <v>794.26268978668702</v>
      </c>
      <c r="AB44" s="114">
        <v>0</v>
      </c>
      <c r="AC44" s="114">
        <v>0</v>
      </c>
      <c r="AD44" s="114">
        <v>0</v>
      </c>
      <c r="AE44" s="114">
        <v>12.9167320961384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147.059153646705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41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72</v>
      </c>
      <c r="I45" s="114" t="s">
        <v>25</v>
      </c>
      <c r="J45" s="114">
        <v>452.08</v>
      </c>
      <c r="K45" s="114">
        <v>147.06</v>
      </c>
      <c r="L45" s="114">
        <v>0</v>
      </c>
      <c r="M45" s="114">
        <v>1.7217149914898899</v>
      </c>
      <c r="N45" s="114">
        <v>0</v>
      </c>
      <c r="O45" s="114">
        <v>0</v>
      </c>
      <c r="P45" s="114">
        <v>0</v>
      </c>
      <c r="Q45" s="114">
        <v>90.983335131005205</v>
      </c>
      <c r="R45" s="114">
        <v>14.361246940770799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67.338266553394405</v>
      </c>
      <c r="Y45" s="114">
        <v>0</v>
      </c>
      <c r="Z45" s="114">
        <v>0</v>
      </c>
      <c r="AA45" s="114">
        <v>264.75434015006698</v>
      </c>
      <c r="AB45" s="114">
        <v>0</v>
      </c>
      <c r="AC45" s="114">
        <v>0</v>
      </c>
      <c r="AD45" s="114">
        <v>0</v>
      </c>
      <c r="AE45" s="114">
        <v>12.9167320961384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147.059153646705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72</v>
      </c>
      <c r="I46" s="114" t="s">
        <v>25</v>
      </c>
      <c r="J46" s="114">
        <v>608.34</v>
      </c>
      <c r="K46" s="114">
        <v>147.06</v>
      </c>
      <c r="L46" s="114">
        <v>0</v>
      </c>
      <c r="M46" s="114">
        <v>1.7217149914898899</v>
      </c>
      <c r="N46" s="114">
        <v>0</v>
      </c>
      <c r="O46" s="114">
        <v>0</v>
      </c>
      <c r="P46" s="114">
        <v>0</v>
      </c>
      <c r="Q46" s="114">
        <v>90.983335131005205</v>
      </c>
      <c r="R46" s="114">
        <v>14.361246940770799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99.012036348316101</v>
      </c>
      <c r="Y46" s="114">
        <v>0</v>
      </c>
      <c r="Z46" s="114">
        <v>0</v>
      </c>
      <c r="AA46" s="114">
        <v>389.34438445820598</v>
      </c>
      <c r="AB46" s="114">
        <v>0</v>
      </c>
      <c r="AC46" s="114">
        <v>0</v>
      </c>
      <c r="AD46" s="114">
        <v>0</v>
      </c>
      <c r="AE46" s="114">
        <v>12.9167320961384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147.059153646705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72</v>
      </c>
      <c r="I47" s="114" t="s">
        <v>25</v>
      </c>
      <c r="J47" s="114">
        <v>608.34</v>
      </c>
      <c r="K47" s="114">
        <v>147.06</v>
      </c>
      <c r="L47" s="114">
        <v>0</v>
      </c>
      <c r="M47" s="114">
        <v>1.7217149914898899</v>
      </c>
      <c r="N47" s="114">
        <v>0</v>
      </c>
      <c r="O47" s="114">
        <v>0</v>
      </c>
      <c r="P47" s="114">
        <v>0</v>
      </c>
      <c r="Q47" s="114">
        <v>90.983335131005205</v>
      </c>
      <c r="R47" s="114">
        <v>14.361246940770799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99.012036348316101</v>
      </c>
      <c r="Y47" s="114">
        <v>0</v>
      </c>
      <c r="Z47" s="114">
        <v>0</v>
      </c>
      <c r="AA47" s="114">
        <v>389.34438445820598</v>
      </c>
      <c r="AB47" s="114">
        <v>0</v>
      </c>
      <c r="AC47" s="114">
        <v>0</v>
      </c>
      <c r="AD47" s="114">
        <v>0</v>
      </c>
      <c r="AE47" s="114">
        <v>12.9167320961384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147.059153646705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46</v>
      </c>
      <c r="C48" s="114" t="s">
        <v>23</v>
      </c>
      <c r="D48" s="114" t="s">
        <v>47</v>
      </c>
      <c r="E48" s="114" t="s">
        <v>48</v>
      </c>
      <c r="F48" s="114" t="s">
        <v>25</v>
      </c>
      <c r="G48" s="114" t="s">
        <v>25</v>
      </c>
      <c r="H48" s="114" t="s">
        <v>72</v>
      </c>
      <c r="I48" s="114" t="s">
        <v>25</v>
      </c>
      <c r="J48" s="114">
        <v>334.59</v>
      </c>
      <c r="K48" s="114">
        <v>80.88</v>
      </c>
      <c r="L48" s="114">
        <v>0</v>
      </c>
      <c r="M48" s="114">
        <v>0.94694324531944196</v>
      </c>
      <c r="N48" s="114">
        <v>0</v>
      </c>
      <c r="O48" s="114">
        <v>0</v>
      </c>
      <c r="P48" s="114">
        <v>0</v>
      </c>
      <c r="Q48" s="114">
        <v>50.040834322052902</v>
      </c>
      <c r="R48" s="114">
        <v>7.89868581742396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54.456619991573803</v>
      </c>
      <c r="Y48" s="114">
        <v>0</v>
      </c>
      <c r="Z48" s="114">
        <v>0</v>
      </c>
      <c r="AA48" s="114">
        <v>214.139411452014</v>
      </c>
      <c r="AB48" s="114">
        <v>0</v>
      </c>
      <c r="AC48" s="114">
        <v>0</v>
      </c>
      <c r="AD48" s="114">
        <v>0</v>
      </c>
      <c r="AE48" s="114">
        <v>7.1042026528760998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80.882534505687801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46</v>
      </c>
      <c r="C49" s="117" t="s">
        <v>23</v>
      </c>
      <c r="D49" s="117" t="s">
        <v>47</v>
      </c>
      <c r="E49" s="117" t="s">
        <v>90</v>
      </c>
      <c r="F49" s="117" t="s">
        <v>25</v>
      </c>
      <c r="G49" s="117" t="s">
        <v>25</v>
      </c>
      <c r="H49" s="117" t="s">
        <v>72</v>
      </c>
      <c r="I49" s="117" t="s">
        <v>25</v>
      </c>
      <c r="J49" s="117">
        <v>365</v>
      </c>
      <c r="K49" s="117">
        <v>88.24</v>
      </c>
      <c r="L49" s="117">
        <v>0</v>
      </c>
      <c r="M49" s="117">
        <v>1.03302899489394</v>
      </c>
      <c r="N49" s="117">
        <v>0</v>
      </c>
      <c r="O49" s="117">
        <v>0</v>
      </c>
      <c r="P49" s="117">
        <v>0</v>
      </c>
      <c r="Q49" s="117">
        <v>54.590001078603102</v>
      </c>
      <c r="R49" s="117">
        <v>8.6167481644624999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59.407221808989597</v>
      </c>
      <c r="Y49" s="117">
        <v>0</v>
      </c>
      <c r="Z49" s="117">
        <v>0</v>
      </c>
      <c r="AA49" s="117">
        <v>233.60663067492399</v>
      </c>
      <c r="AB49" s="117">
        <v>0</v>
      </c>
      <c r="AC49" s="117">
        <v>0</v>
      </c>
      <c r="AD49" s="117">
        <v>0</v>
      </c>
      <c r="AE49" s="117">
        <v>7.7500392576830199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88.235492188023002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16D7-7CFD-46F4-A82C-D92D1B74FBCC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1122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447</v>
      </c>
      <c r="M2" s="120"/>
      <c r="N2" s="120"/>
      <c r="O2" s="120"/>
      <c r="P2" s="120"/>
      <c r="Q2" s="120"/>
      <c r="R2" s="120"/>
      <c r="S2" s="121"/>
      <c r="T2" s="120" t="s">
        <v>456</v>
      </c>
      <c r="U2" s="120"/>
      <c r="V2" s="120"/>
      <c r="W2" s="120"/>
      <c r="X2" s="120"/>
      <c r="Y2" s="120"/>
      <c r="Z2" s="121"/>
      <c r="AA2" s="122" t="s">
        <v>464</v>
      </c>
      <c r="AB2" s="120" t="s">
        <v>25</v>
      </c>
      <c r="AC2" s="120"/>
      <c r="AD2" s="121"/>
      <c r="AE2" s="120" t="s">
        <v>1121</v>
      </c>
      <c r="AF2" s="120"/>
      <c r="AG2" s="120"/>
      <c r="AH2" s="121"/>
      <c r="AI2" s="120" t="s">
        <v>447</v>
      </c>
      <c r="AJ2" s="120"/>
      <c r="AK2" s="120"/>
      <c r="AL2" s="120"/>
      <c r="AM2" s="121"/>
      <c r="AN2" s="122" t="s">
        <v>478</v>
      </c>
      <c r="AO2" s="120" t="s">
        <v>456</v>
      </c>
      <c r="AP2" s="120"/>
      <c r="AQ2" s="120"/>
      <c r="AR2" s="120"/>
      <c r="AS2" s="121"/>
      <c r="AT2" s="123" t="s">
        <v>1121</v>
      </c>
    </row>
    <row r="3" spans="2:46" ht="12" customHeight="1" x14ac:dyDescent="0.25">
      <c r="B3" s="110" t="s">
        <v>62</v>
      </c>
      <c r="C3" s="111" t="s">
        <v>63</v>
      </c>
      <c r="D3" s="111" t="s">
        <v>64</v>
      </c>
      <c r="E3" s="111" t="s">
        <v>65</v>
      </c>
      <c r="F3" s="111" t="s">
        <v>66</v>
      </c>
      <c r="G3" s="111" t="s">
        <v>68</v>
      </c>
      <c r="H3" s="111" t="s">
        <v>69</v>
      </c>
      <c r="I3" s="111" t="s">
        <v>724</v>
      </c>
      <c r="J3" s="111" t="s">
        <v>1083</v>
      </c>
      <c r="K3" s="111" t="s">
        <v>1084</v>
      </c>
      <c r="L3" s="111" t="s">
        <v>1085</v>
      </c>
      <c r="M3" s="111" t="s">
        <v>1086</v>
      </c>
      <c r="N3" s="111" t="s">
        <v>1087</v>
      </c>
      <c r="O3" s="111" t="s">
        <v>1088</v>
      </c>
      <c r="P3" s="111" t="s">
        <v>1089</v>
      </c>
      <c r="Q3" s="111" t="s">
        <v>1090</v>
      </c>
      <c r="R3" s="111" t="s">
        <v>1091</v>
      </c>
      <c r="S3" s="111" t="s">
        <v>1092</v>
      </c>
      <c r="T3" s="111" t="s">
        <v>1093</v>
      </c>
      <c r="U3" s="111" t="s">
        <v>1094</v>
      </c>
      <c r="V3" s="111" t="s">
        <v>1095</v>
      </c>
      <c r="W3" s="111" t="s">
        <v>1096</v>
      </c>
      <c r="X3" s="111" t="s">
        <v>1097</v>
      </c>
      <c r="Y3" s="111" t="s">
        <v>1098</v>
      </c>
      <c r="Z3" s="111" t="s">
        <v>1099</v>
      </c>
      <c r="AA3" s="111" t="s">
        <v>1100</v>
      </c>
      <c r="AB3" s="111" t="s">
        <v>1101</v>
      </c>
      <c r="AC3" s="111" t="s">
        <v>1102</v>
      </c>
      <c r="AD3" s="111" t="s">
        <v>1103</v>
      </c>
      <c r="AE3" s="111" t="s">
        <v>1104</v>
      </c>
      <c r="AF3" s="111" t="s">
        <v>1105</v>
      </c>
      <c r="AG3" s="111" t="s">
        <v>1106</v>
      </c>
      <c r="AH3" s="111" t="s">
        <v>1107</v>
      </c>
      <c r="AI3" s="111" t="s">
        <v>1108</v>
      </c>
      <c r="AJ3" s="111" t="s">
        <v>1109</v>
      </c>
      <c r="AK3" s="111" t="s">
        <v>1110</v>
      </c>
      <c r="AL3" s="111" t="s">
        <v>1111</v>
      </c>
      <c r="AM3" s="111" t="s">
        <v>1112</v>
      </c>
      <c r="AN3" s="111" t="s">
        <v>1113</v>
      </c>
      <c r="AO3" s="111" t="s">
        <v>1114</v>
      </c>
      <c r="AP3" s="111" t="s">
        <v>1115</v>
      </c>
      <c r="AQ3" s="111" t="s">
        <v>1116</v>
      </c>
      <c r="AR3" s="111" t="s">
        <v>1117</v>
      </c>
      <c r="AS3" s="111" t="s">
        <v>1118</v>
      </c>
      <c r="AT3" s="112" t="s">
        <v>1119</v>
      </c>
    </row>
    <row r="4" spans="2:46" ht="12" customHeight="1" x14ac:dyDescent="0.25">
      <c r="B4" s="113" t="s">
        <v>35</v>
      </c>
      <c r="C4" s="114" t="s">
        <v>36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72</v>
      </c>
      <c r="I4" s="114" t="s">
        <v>25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0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36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0</v>
      </c>
      <c r="Y5" s="114">
        <v>0</v>
      </c>
      <c r="Z5" s="114">
        <v>0</v>
      </c>
      <c r="AA5" s="114">
        <v>0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36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72</v>
      </c>
      <c r="I6" s="114" t="s">
        <v>25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0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36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0</v>
      </c>
      <c r="Y7" s="114">
        <v>0</v>
      </c>
      <c r="Z7" s="114">
        <v>0</v>
      </c>
      <c r="AA7" s="114">
        <v>0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36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72</v>
      </c>
      <c r="I8" s="114" t="s">
        <v>25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0</v>
      </c>
      <c r="R8" s="114">
        <v>0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0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0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36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36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72</v>
      </c>
      <c r="I10" s="114" t="s">
        <v>25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36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39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72</v>
      </c>
      <c r="I13" s="114" t="s">
        <v>25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39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39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72</v>
      </c>
      <c r="I15" s="114" t="s">
        <v>25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39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72</v>
      </c>
      <c r="I16" s="114" t="s">
        <v>25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39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39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72</v>
      </c>
      <c r="I18" s="114" t="s">
        <v>25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41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72</v>
      </c>
      <c r="I21" s="114" t="s">
        <v>25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41</v>
      </c>
      <c r="D22" s="114" t="s">
        <v>24</v>
      </c>
      <c r="E22" s="114" t="s">
        <v>24</v>
      </c>
      <c r="F22" s="114" t="s">
        <v>25</v>
      </c>
      <c r="G22" s="114" t="s">
        <v>42</v>
      </c>
      <c r="H22" s="114" t="s">
        <v>72</v>
      </c>
      <c r="I22" s="114" t="s">
        <v>25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  <c r="AE22" s="114">
        <v>0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41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72</v>
      </c>
      <c r="I23" s="114" t="s">
        <v>25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0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1120</v>
      </c>
      <c r="F24" s="114" t="s">
        <v>25</v>
      </c>
      <c r="G24" s="114" t="s">
        <v>25</v>
      </c>
      <c r="H24" s="114" t="s">
        <v>72</v>
      </c>
      <c r="I24" s="114" t="s">
        <v>25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72</v>
      </c>
      <c r="I25" s="114" t="s">
        <v>25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  <c r="AE25" s="114">
        <v>0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0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1120</v>
      </c>
      <c r="F26" s="114" t="s">
        <v>25</v>
      </c>
      <c r="G26" s="114" t="s">
        <v>25</v>
      </c>
      <c r="H26" s="114" t="s">
        <v>72</v>
      </c>
      <c r="I26" s="114" t="s">
        <v>25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0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72</v>
      </c>
      <c r="I27" s="114" t="s">
        <v>25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43</v>
      </c>
      <c r="C28" s="114" t="s">
        <v>41</v>
      </c>
      <c r="D28" s="114" t="s">
        <v>44</v>
      </c>
      <c r="E28" s="114" t="s">
        <v>88</v>
      </c>
      <c r="F28" s="114" t="s">
        <v>25</v>
      </c>
      <c r="G28" s="114" t="s">
        <v>37</v>
      </c>
      <c r="H28" s="114" t="s">
        <v>72</v>
      </c>
      <c r="I28" s="114" t="s">
        <v>25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0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43</v>
      </c>
      <c r="C29" s="114" t="s">
        <v>41</v>
      </c>
      <c r="D29" s="114" t="s">
        <v>44</v>
      </c>
      <c r="E29" s="114" t="s">
        <v>88</v>
      </c>
      <c r="F29" s="114" t="s">
        <v>25</v>
      </c>
      <c r="G29" s="114" t="s">
        <v>42</v>
      </c>
      <c r="H29" s="114" t="s">
        <v>72</v>
      </c>
      <c r="I29" s="114" t="s">
        <v>25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  <c r="R29" s="114">
        <v>0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0</v>
      </c>
      <c r="Y29" s="114">
        <v>0</v>
      </c>
      <c r="Z29" s="114">
        <v>0</v>
      </c>
      <c r="AA29" s="114">
        <v>0</v>
      </c>
      <c r="AB29" s="114">
        <v>0</v>
      </c>
      <c r="AC29" s="114">
        <v>0</v>
      </c>
      <c r="AD29" s="114">
        <v>0</v>
      </c>
      <c r="AE29" s="114">
        <v>0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0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43</v>
      </c>
      <c r="C30" s="114" t="s">
        <v>41</v>
      </c>
      <c r="D30" s="114" t="s">
        <v>44</v>
      </c>
      <c r="E30" s="114" t="s">
        <v>88</v>
      </c>
      <c r="F30" s="114" t="s">
        <v>25</v>
      </c>
      <c r="G30" s="114" t="s">
        <v>38</v>
      </c>
      <c r="H30" s="114" t="s">
        <v>72</v>
      </c>
      <c r="I30" s="114" t="s">
        <v>25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43</v>
      </c>
      <c r="C31" s="114" t="s">
        <v>41</v>
      </c>
      <c r="D31" s="114" t="s">
        <v>44</v>
      </c>
      <c r="E31" s="114" t="s">
        <v>25</v>
      </c>
      <c r="F31" s="114" t="s">
        <v>25</v>
      </c>
      <c r="G31" s="114" t="s">
        <v>37</v>
      </c>
      <c r="H31" s="114" t="s">
        <v>72</v>
      </c>
      <c r="I31" s="114" t="s">
        <v>25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0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43</v>
      </c>
      <c r="C32" s="114" t="s">
        <v>41</v>
      </c>
      <c r="D32" s="114" t="s">
        <v>44</v>
      </c>
      <c r="E32" s="114" t="s">
        <v>25</v>
      </c>
      <c r="F32" s="114" t="s">
        <v>25</v>
      </c>
      <c r="G32" s="114" t="s">
        <v>42</v>
      </c>
      <c r="H32" s="114" t="s">
        <v>72</v>
      </c>
      <c r="I32" s="114" t="s">
        <v>25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  <c r="AD32" s="114">
        <v>0</v>
      </c>
      <c r="AE32" s="114">
        <v>0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0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43</v>
      </c>
      <c r="C33" s="114" t="s">
        <v>41</v>
      </c>
      <c r="D33" s="114" t="s">
        <v>44</v>
      </c>
      <c r="E33" s="114" t="s">
        <v>25</v>
      </c>
      <c r="F33" s="114" t="s">
        <v>25</v>
      </c>
      <c r="G33" s="114" t="s">
        <v>38</v>
      </c>
      <c r="H33" s="114" t="s">
        <v>72</v>
      </c>
      <c r="I33" s="114" t="s">
        <v>25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43</v>
      </c>
      <c r="C34" s="114" t="s">
        <v>41</v>
      </c>
      <c r="D34" s="114" t="s">
        <v>44</v>
      </c>
      <c r="E34" s="114" t="s">
        <v>89</v>
      </c>
      <c r="F34" s="114" t="s">
        <v>25</v>
      </c>
      <c r="G34" s="114" t="s">
        <v>37</v>
      </c>
      <c r="H34" s="114" t="s">
        <v>72</v>
      </c>
      <c r="I34" s="114" t="s">
        <v>25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0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43</v>
      </c>
      <c r="C35" s="114" t="s">
        <v>41</v>
      </c>
      <c r="D35" s="114" t="s">
        <v>44</v>
      </c>
      <c r="E35" s="114" t="s">
        <v>89</v>
      </c>
      <c r="F35" s="114" t="s">
        <v>25</v>
      </c>
      <c r="G35" s="114" t="s">
        <v>42</v>
      </c>
      <c r="H35" s="114" t="s">
        <v>72</v>
      </c>
      <c r="I35" s="114" t="s">
        <v>25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43</v>
      </c>
      <c r="C36" s="114" t="s">
        <v>41</v>
      </c>
      <c r="D36" s="114" t="s">
        <v>44</v>
      </c>
      <c r="E36" s="114" t="s">
        <v>89</v>
      </c>
      <c r="F36" s="114" t="s">
        <v>25</v>
      </c>
      <c r="G36" s="114" t="s">
        <v>38</v>
      </c>
      <c r="H36" s="114" t="s">
        <v>72</v>
      </c>
      <c r="I36" s="114" t="s">
        <v>25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43</v>
      </c>
      <c r="C37" s="114" t="s">
        <v>23</v>
      </c>
      <c r="D37" s="114" t="s">
        <v>44</v>
      </c>
      <c r="E37" s="114" t="s">
        <v>88</v>
      </c>
      <c r="F37" s="114" t="s">
        <v>25</v>
      </c>
      <c r="G37" s="114" t="s">
        <v>25</v>
      </c>
      <c r="H37" s="114" t="s">
        <v>72</v>
      </c>
      <c r="I37" s="114" t="s">
        <v>25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43</v>
      </c>
      <c r="C38" s="114" t="s">
        <v>23</v>
      </c>
      <c r="D38" s="114" t="s">
        <v>44</v>
      </c>
      <c r="E38" s="114" t="s">
        <v>25</v>
      </c>
      <c r="F38" s="114" t="s">
        <v>25</v>
      </c>
      <c r="G38" s="114" t="s">
        <v>25</v>
      </c>
      <c r="H38" s="114" t="s">
        <v>72</v>
      </c>
      <c r="I38" s="114" t="s">
        <v>25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43</v>
      </c>
      <c r="C39" s="114" t="s">
        <v>23</v>
      </c>
      <c r="D39" s="114" t="s">
        <v>44</v>
      </c>
      <c r="E39" s="114" t="s">
        <v>89</v>
      </c>
      <c r="F39" s="114" t="s">
        <v>25</v>
      </c>
      <c r="G39" s="114" t="s">
        <v>25</v>
      </c>
      <c r="H39" s="114" t="s">
        <v>72</v>
      </c>
      <c r="I39" s="114" t="s">
        <v>25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0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0</v>
      </c>
      <c r="Y39" s="114">
        <v>0</v>
      </c>
      <c r="Z39" s="114">
        <v>0</v>
      </c>
      <c r="AA39" s="114">
        <v>0</v>
      </c>
      <c r="AB39" s="114">
        <v>0</v>
      </c>
      <c r="AC39" s="114">
        <v>0</v>
      </c>
      <c r="AD39" s="114">
        <v>0</v>
      </c>
      <c r="AE39" s="114">
        <v>0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0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43</v>
      </c>
      <c r="C40" s="114" t="s">
        <v>87</v>
      </c>
      <c r="D40" s="114" t="s">
        <v>44</v>
      </c>
      <c r="E40" s="114" t="s">
        <v>88</v>
      </c>
      <c r="F40" s="114" t="s">
        <v>25</v>
      </c>
      <c r="G40" s="114" t="s">
        <v>25</v>
      </c>
      <c r="H40" s="114" t="s">
        <v>72</v>
      </c>
      <c r="I40" s="114" t="s">
        <v>25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  <c r="AA40" s="114">
        <v>0</v>
      </c>
      <c r="AB40" s="114">
        <v>0</v>
      </c>
      <c r="AC40" s="114">
        <v>0</v>
      </c>
      <c r="AD40" s="114">
        <v>0</v>
      </c>
      <c r="AE40" s="114">
        <v>0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0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43</v>
      </c>
      <c r="C41" s="114" t="s">
        <v>87</v>
      </c>
      <c r="D41" s="114" t="s">
        <v>44</v>
      </c>
      <c r="E41" s="114" t="s">
        <v>25</v>
      </c>
      <c r="F41" s="114" t="s">
        <v>25</v>
      </c>
      <c r="G41" s="114" t="s">
        <v>25</v>
      </c>
      <c r="H41" s="114" t="s">
        <v>72</v>
      </c>
      <c r="I41" s="114" t="s">
        <v>25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43</v>
      </c>
      <c r="C42" s="114" t="s">
        <v>87</v>
      </c>
      <c r="D42" s="114" t="s">
        <v>44</v>
      </c>
      <c r="E42" s="114" t="s">
        <v>89</v>
      </c>
      <c r="F42" s="114" t="s">
        <v>25</v>
      </c>
      <c r="G42" s="114" t="s">
        <v>25</v>
      </c>
      <c r="H42" s="114" t="s">
        <v>72</v>
      </c>
      <c r="I42" s="114" t="s">
        <v>25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41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72</v>
      </c>
      <c r="I43" s="114" t="s">
        <v>25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41</v>
      </c>
      <c r="D44" s="114" t="s">
        <v>25</v>
      </c>
      <c r="E44" s="114" t="s">
        <v>25</v>
      </c>
      <c r="F44" s="114" t="s">
        <v>25</v>
      </c>
      <c r="G44" s="114" t="s">
        <v>42</v>
      </c>
      <c r="H44" s="114" t="s">
        <v>72</v>
      </c>
      <c r="I44" s="114" t="s">
        <v>25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41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72</v>
      </c>
      <c r="I45" s="114" t="s">
        <v>25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  <c r="AD45" s="114">
        <v>0</v>
      </c>
      <c r="AE45" s="114">
        <v>0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0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72</v>
      </c>
      <c r="I46" s="114" t="s">
        <v>25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4">
        <v>0</v>
      </c>
      <c r="P46" s="114">
        <v>0</v>
      </c>
      <c r="Q46" s="114">
        <v>0</v>
      </c>
      <c r="R46" s="114">
        <v>0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0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72</v>
      </c>
      <c r="I47" s="114" t="s">
        <v>25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  <c r="AA47" s="114">
        <v>0</v>
      </c>
      <c r="AB47" s="114">
        <v>0</v>
      </c>
      <c r="AC47" s="114">
        <v>0</v>
      </c>
      <c r="AD47" s="114">
        <v>0</v>
      </c>
      <c r="AE47" s="114">
        <v>0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0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46</v>
      </c>
      <c r="C48" s="114" t="s">
        <v>23</v>
      </c>
      <c r="D48" s="114" t="s">
        <v>47</v>
      </c>
      <c r="E48" s="114" t="s">
        <v>48</v>
      </c>
      <c r="F48" s="114" t="s">
        <v>25</v>
      </c>
      <c r="G48" s="114" t="s">
        <v>25</v>
      </c>
      <c r="H48" s="114" t="s">
        <v>72</v>
      </c>
      <c r="I48" s="114" t="s">
        <v>25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0</v>
      </c>
      <c r="Y48" s="114">
        <v>0</v>
      </c>
      <c r="Z48" s="114">
        <v>0</v>
      </c>
      <c r="AA48" s="114">
        <v>0</v>
      </c>
      <c r="AB48" s="114">
        <v>0</v>
      </c>
      <c r="AC48" s="114">
        <v>0</v>
      </c>
      <c r="AD48" s="114">
        <v>0</v>
      </c>
      <c r="AE48" s="114">
        <v>0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0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46</v>
      </c>
      <c r="C49" s="117" t="s">
        <v>23</v>
      </c>
      <c r="D49" s="117" t="s">
        <v>47</v>
      </c>
      <c r="E49" s="117" t="s">
        <v>90</v>
      </c>
      <c r="F49" s="117" t="s">
        <v>25</v>
      </c>
      <c r="G49" s="117" t="s">
        <v>25</v>
      </c>
      <c r="H49" s="117" t="s">
        <v>72</v>
      </c>
      <c r="I49" s="117" t="s">
        <v>25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7">
        <v>0</v>
      </c>
      <c r="P49" s="117">
        <v>0</v>
      </c>
      <c r="Q49" s="117">
        <v>0</v>
      </c>
      <c r="R49" s="117">
        <v>0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0</v>
      </c>
      <c r="Y49" s="117">
        <v>0</v>
      </c>
      <c r="Z49" s="117">
        <v>0</v>
      </c>
      <c r="AA49" s="117">
        <v>0</v>
      </c>
      <c r="AB49" s="117">
        <v>0</v>
      </c>
      <c r="AC49" s="117">
        <v>0</v>
      </c>
      <c r="AD49" s="117">
        <v>0</v>
      </c>
      <c r="AE49" s="117">
        <v>0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0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2022-09-14T22:33:04Z</dcterms:created>
  <dcterms:modified xsi:type="dcterms:W3CDTF">2022-09-16T19:44:44Z</dcterms:modified>
</cp:coreProperties>
</file>